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michiganstate-my.sharepoint.com/personal/laportej_msu_edu/Documents/Documents/Farm Management Files/Budgets &amp; Tools/Crop Budgets/Estimating Tool (Vegetable)/"/>
    </mc:Choice>
  </mc:AlternateContent>
  <xr:revisionPtr revIDLastSave="305" documentId="8_{7CAF239D-E422-47B9-B14C-D7DC1164E56B}" xr6:coauthVersionLast="47" xr6:coauthVersionMax="47" xr10:uidLastSave="{450ED5D6-AE6F-4EDF-8CC6-6D2E55734372}"/>
  <workbookProtection workbookAlgorithmName="SHA-512" workbookHashValue="z+PuOch5G7Is242eoYiQNlCZLwdO2iBJ+ZwklNw/FXhzVn97el7gIi1X0Yta2PG7vqTYBLHWi4TPZlkXt9bWhg==" workbookSaltValue="hIMW2DqWhTAmlCUbQeJu3g==" workbookSpinCount="100000" lockStructure="1"/>
  <bookViews>
    <workbookView xWindow="-120" yWindow="-120" windowWidth="29040" windowHeight="15840" tabRatio="947" xr2:uid="{00000000-000D-0000-FFFF-FFFF00000000}"/>
  </bookViews>
  <sheets>
    <sheet name="Instructions" sheetId="16" r:id="rId1"/>
    <sheet name="Crop Budget (Main)" sheetId="1" r:id="rId2"/>
    <sheet name="Raised Bed Calculator" sheetId="33" state="hidden" r:id="rId3"/>
    <sheet name="Variable &amp; Fixed" sheetId="6" r:id="rId4"/>
    <sheet name="Chemical Plan" sheetId="8" r:id="rId5"/>
    <sheet name="Adjuvant Help Guide" sheetId="17" r:id="rId6"/>
    <sheet name="Corn K Calculations" sheetId="26" state="hidden" r:id="rId7"/>
    <sheet name="Soybean K Calculations" sheetId="27" state="hidden" r:id="rId8"/>
    <sheet name="Wheat K Calculations" sheetId="28" state="hidden" r:id="rId9"/>
    <sheet name="Nutrient Management" sheetId="30" r:id="rId10"/>
    <sheet name="Manure and Nutrient Credits" sheetId="31" state="hidden" r:id="rId11"/>
    <sheet name="Fertilizer Products &amp; Pricing" sheetId="3" r:id="rId12"/>
    <sheet name="Fertilizer Plan" sheetId="9" r:id="rId13"/>
    <sheet name="Loans &amp; Financing" sheetId="2" r:id="rId14"/>
    <sheet name="Capital &amp; Opportunity" sheetId="19" r:id="rId15"/>
    <sheet name="Gov't Payments" sheetId="20" r:id="rId16"/>
    <sheet name="Optimization" sheetId="23" r:id="rId17"/>
    <sheet name="Data and Lists" sheetId="32" state="hidden" r:id="rId18"/>
    <sheet name="Chemical List (Vegetables)" sheetId="4" r:id="rId19"/>
    <sheet name="Charts" sheetId="24" state="hidden" r:id="rId20"/>
  </sheets>
  <definedNames>
    <definedName name="Adjuvants">'Chemical List (Vegetables)'!$103:$113</definedName>
    <definedName name="CornAdjuvants" localSheetId="10">#REF!</definedName>
    <definedName name="CornFungicides" localSheetId="10">#REF!</definedName>
    <definedName name="CornInsecticides" localSheetId="10">#REF!</definedName>
    <definedName name="CornPostChemicals" localSheetId="10">#REF!</definedName>
    <definedName name="CornPreChemicals" localSheetId="10">#REF!</definedName>
    <definedName name="Foliars" localSheetId="10">#REF!</definedName>
    <definedName name="Foliars">'Chemical List (Vegetables)'!$A$118:$A$152</definedName>
    <definedName name="Fungicides">'Chemical List (Vegetables)'!$A$118:$D$156</definedName>
    <definedName name="Herbicides">'Chemical List (Vegetables)'!$A$4:$F$98</definedName>
    <definedName name="Insecticides">'Chemical List (Vegetables)'!$A$168:$D$269</definedName>
    <definedName name="Lime" localSheetId="10">#REF!</definedName>
    <definedName name="Lime" localSheetId="9">#REF!</definedName>
    <definedName name="Lime">'Fertilizer Products &amp; Pricing'!$A$75:$R$83</definedName>
    <definedName name="Macronutrients" localSheetId="10">#REF!</definedName>
    <definedName name="Macronutrients" localSheetId="9">#REF!</definedName>
    <definedName name="Macronutrients">'Fertilizer Products &amp; Pricing'!$A$4:$R$54</definedName>
    <definedName name="Micronutrients" localSheetId="10">#REF!</definedName>
    <definedName name="Micronutrients" localSheetId="9">#REF!</definedName>
    <definedName name="Micronutrients">'Fertilizer Products &amp; Pricing'!$A$58:$R$71</definedName>
    <definedName name="Moisture">#REF!</definedName>
    <definedName name="NitrogenStabilizers" localSheetId="10">#REF!</definedName>
    <definedName name="NitrogenStabilizers" localSheetId="9">#REF!</definedName>
    <definedName name="NitrogenStabilizers">'Fertilizer Products &amp; Pricing'!$A$87:$R$96</definedName>
    <definedName name="_xlnm.Print_Area" localSheetId="14">'Capital &amp; Opportunity'!$A$1:$H$53</definedName>
    <definedName name="_xlnm.Print_Area" localSheetId="4">'Chemical Plan'!$A$1:$H$79,'Chemical Plan'!$K$1:$R$79,'Chemical Plan'!$U$1:$AB$79</definedName>
    <definedName name="_xlnm.Print_Area" localSheetId="1">'Crop Budget (Main)'!$A$1:$S$75,'Crop Budget (Main)'!$A$85:$M$145,'Crop Budget (Main)'!$A$146:$S$206</definedName>
    <definedName name="_xlnm.Print_Area" localSheetId="12">'Fertilizer Plan'!$A$1:$K$186,'Fertilizer Plan'!$M$1:$W$186,'Fertilizer Plan'!$Y$1:$AI$186</definedName>
    <definedName name="_xlnm.Print_Area" localSheetId="11">'Fertilizer Products &amp; Pricing'!$A$1:$Z$96</definedName>
    <definedName name="_xlnm.Print_Area" localSheetId="0">Instructions!$A$1:$R$49</definedName>
    <definedName name="_xlnm.Print_Area" localSheetId="13">'Loans &amp; Financing'!$B$1:$J$44,'Loans &amp; Financing'!$L$5:$V$15</definedName>
    <definedName name="_xlnm.Print_Area" localSheetId="9">'Nutrient Management'!$B$1:$L$77</definedName>
    <definedName name="_xlnm.Print_Area" localSheetId="16">Optimization!$A$1:$G$16</definedName>
    <definedName name="_xlnm.Print_Area" localSheetId="2">'Raised Bed Calculator'!#REF!,'Raised Bed Calculator'!#REF!,'Raised Bed Calculator'!#REF!</definedName>
    <definedName name="solver_adj" localSheetId="16" hidden="1">Optimization!$D$4:$D$6</definedName>
    <definedName name="solver_cvg" localSheetId="16" hidden="1">0.0001</definedName>
    <definedName name="solver_drv" localSheetId="16" hidden="1">2</definedName>
    <definedName name="solver_eng" localSheetId="16" hidden="1">2</definedName>
    <definedName name="solver_est" localSheetId="16" hidden="1">1</definedName>
    <definedName name="solver_itr" localSheetId="16" hidden="1">2147483647</definedName>
    <definedName name="solver_lhs1" localSheetId="16" hidden="1">Optimization!$C$9</definedName>
    <definedName name="solver_lhs2" localSheetId="16" hidden="1">Optimization!$C$10</definedName>
    <definedName name="solver_lhs3" localSheetId="16" hidden="1">Optimization!$C$11</definedName>
    <definedName name="solver_lhs4" localSheetId="16" hidden="1">Optimization!$C$12</definedName>
    <definedName name="solver_lhs5" localSheetId="16" hidden="1">Optimization!$C$13</definedName>
    <definedName name="solver_lhs6" localSheetId="16" hidden="1">Optimization!$D$4:$D$6</definedName>
    <definedName name="solver_lhs7" localSheetId="16" hidden="1">Optimization!$J$9:$J$11</definedName>
    <definedName name="solver_mip" localSheetId="16" hidden="1">2147483647</definedName>
    <definedName name="solver_mni" localSheetId="16" hidden="1">30</definedName>
    <definedName name="solver_mrt" localSheetId="16" hidden="1">0.075</definedName>
    <definedName name="solver_msl" localSheetId="16" hidden="1">2</definedName>
    <definedName name="solver_neg" localSheetId="16" hidden="1">1</definedName>
    <definedName name="solver_nod" localSheetId="16" hidden="1">2147483647</definedName>
    <definedName name="solver_num" localSheetId="16" hidden="1">7</definedName>
    <definedName name="solver_nwt" localSheetId="16" hidden="1">1</definedName>
    <definedName name="solver_opt" localSheetId="16" hidden="1">Optimization!$C$15</definedName>
    <definedName name="solver_pre" localSheetId="16" hidden="1">0.000001</definedName>
    <definedName name="solver_rbv" localSheetId="16" hidden="1">2</definedName>
    <definedName name="solver_rel1" localSheetId="16" hidden="1">1</definedName>
    <definedName name="solver_rel2" localSheetId="16" hidden="1">3</definedName>
    <definedName name="solver_rel3" localSheetId="16" hidden="1">3</definedName>
    <definedName name="solver_rel4" localSheetId="16" hidden="1">3</definedName>
    <definedName name="solver_rel5" localSheetId="16" hidden="1">2</definedName>
    <definedName name="solver_rel6" localSheetId="16" hidden="1">4</definedName>
    <definedName name="solver_rel7" localSheetId="16" hidden="1">1</definedName>
    <definedName name="solver_rhs1" localSheetId="16" hidden="1">Optimization!$E$9</definedName>
    <definedName name="solver_rhs2" localSheetId="16" hidden="1">Optimization!$E$10</definedName>
    <definedName name="solver_rhs3" localSheetId="16" hidden="1">Optimization!$E$11</definedName>
    <definedName name="solver_rhs4" localSheetId="16" hidden="1">Optimization!$E$12</definedName>
    <definedName name="solver_rhs5" localSheetId="16" hidden="1">Optimization!$E$13</definedName>
    <definedName name="solver_rhs6" localSheetId="16" hidden="1">integer</definedName>
    <definedName name="solver_rhs7" localSheetId="16" hidden="1">Optimization!$L$9:$L$11</definedName>
    <definedName name="solver_rlx" localSheetId="16" hidden="1">2</definedName>
    <definedName name="solver_rsd" localSheetId="16" hidden="1">0</definedName>
    <definedName name="solver_scl" localSheetId="16" hidden="1">2</definedName>
    <definedName name="solver_sho" localSheetId="16" hidden="1">2</definedName>
    <definedName name="solver_ssz" localSheetId="16" hidden="1">100</definedName>
    <definedName name="solver_tim" localSheetId="16" hidden="1">2147483647</definedName>
    <definedName name="solver_tol" localSheetId="16" hidden="1">0.01</definedName>
    <definedName name="solver_typ" localSheetId="16" hidden="1">1</definedName>
    <definedName name="solver_val" localSheetId="16" hidden="1">0</definedName>
    <definedName name="solver_ver" localSheetId="16" hidden="1">3</definedName>
    <definedName name="SoybeanFungicides" localSheetId="10">#REF!</definedName>
    <definedName name="SoybeanInsecticides" localSheetId="10">#REF!</definedName>
    <definedName name="SoybeanPostChemicals" localSheetId="10">#REF!</definedName>
    <definedName name="SoybeanPreChemicals" localSheetId="10">#REF!</definedName>
    <definedName name="VegetableChemicals">'Chemical List (Vegetables)'!$A$4:$F$98</definedName>
    <definedName name="WheatChemicals" localSheetId="10">#REF!</definedName>
    <definedName name="WheatFungicides" localSheetId="10">#REF!</definedName>
    <definedName name="WheatInsecticides" localSheetId="1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2" i="1" l="1"/>
  <c r="AA67" i="8"/>
  <c r="Y67" i="8"/>
  <c r="AB67" i="8" s="1"/>
  <c r="W67" i="8"/>
  <c r="AA66" i="8"/>
  <c r="Y66" i="8"/>
  <c r="AB66" i="8" s="1"/>
  <c r="W66" i="8"/>
  <c r="AA65" i="8"/>
  <c r="Y65" i="8"/>
  <c r="AB65" i="8" s="1"/>
  <c r="W65" i="8"/>
  <c r="AB64" i="8"/>
  <c r="AA64" i="8"/>
  <c r="Y64" i="8"/>
  <c r="W64" i="8"/>
  <c r="AA63" i="8"/>
  <c r="Y63" i="8"/>
  <c r="AB63" i="8" s="1"/>
  <c r="W63" i="8"/>
  <c r="R67" i="8"/>
  <c r="Q67" i="8"/>
  <c r="O67" i="8"/>
  <c r="M67" i="8"/>
  <c r="Q66" i="8"/>
  <c r="O66" i="8"/>
  <c r="R66" i="8" s="1"/>
  <c r="M66" i="8"/>
  <c r="R65" i="8"/>
  <c r="Q65" i="8"/>
  <c r="O65" i="8"/>
  <c r="M65" i="8"/>
  <c r="Q64" i="8"/>
  <c r="O64" i="8"/>
  <c r="R64" i="8" s="1"/>
  <c r="M64" i="8"/>
  <c r="Q63" i="8"/>
  <c r="O63" i="8"/>
  <c r="R63" i="8" s="1"/>
  <c r="M63" i="8"/>
  <c r="G67" i="8"/>
  <c r="E67" i="8"/>
  <c r="H67" i="8" s="1"/>
  <c r="C67" i="8"/>
  <c r="G66" i="8"/>
  <c r="E66" i="8"/>
  <c r="H66" i="8" s="1"/>
  <c r="C66" i="8"/>
  <c r="G65" i="8"/>
  <c r="E65" i="8"/>
  <c r="H65" i="8" s="1"/>
  <c r="C65" i="8"/>
  <c r="G64" i="8"/>
  <c r="E64" i="8"/>
  <c r="H64" i="8" s="1"/>
  <c r="C64" i="8"/>
  <c r="G63" i="8"/>
  <c r="E63" i="8"/>
  <c r="H63" i="8" s="1"/>
  <c r="C63" i="8"/>
  <c r="AA55" i="8"/>
  <c r="Y55" i="8"/>
  <c r="AB55" i="8" s="1"/>
  <c r="W55" i="8"/>
  <c r="AA54" i="8"/>
  <c r="Y54" i="8"/>
  <c r="AB54" i="8" s="1"/>
  <c r="W54" i="8"/>
  <c r="AA53" i="8"/>
  <c r="Y53" i="8"/>
  <c r="AB53" i="8" s="1"/>
  <c r="W53" i="8"/>
  <c r="AA52" i="8"/>
  <c r="Y52" i="8"/>
  <c r="AB52" i="8" s="1"/>
  <c r="W52" i="8"/>
  <c r="AA51" i="8"/>
  <c r="Y51" i="8"/>
  <c r="AB51" i="8" s="1"/>
  <c r="W51" i="8"/>
  <c r="Q55" i="8"/>
  <c r="O55" i="8"/>
  <c r="R55" i="8" s="1"/>
  <c r="M55" i="8"/>
  <c r="Q54" i="8"/>
  <c r="O54" i="8"/>
  <c r="R54" i="8" s="1"/>
  <c r="M54" i="8"/>
  <c r="Q53" i="8"/>
  <c r="O53" i="8"/>
  <c r="R53" i="8" s="1"/>
  <c r="M53" i="8"/>
  <c r="Q52" i="8"/>
  <c r="O52" i="8"/>
  <c r="R52" i="8" s="1"/>
  <c r="M52" i="8"/>
  <c r="Q51" i="8"/>
  <c r="O51" i="8"/>
  <c r="R51" i="8" s="1"/>
  <c r="M51" i="8"/>
  <c r="G55" i="8"/>
  <c r="E55" i="8"/>
  <c r="H55" i="8" s="1"/>
  <c r="C55" i="8"/>
  <c r="G54" i="8"/>
  <c r="E54" i="8"/>
  <c r="H54" i="8" s="1"/>
  <c r="C54" i="8"/>
  <c r="G53" i="8"/>
  <c r="E53" i="8"/>
  <c r="H53" i="8" s="1"/>
  <c r="C53" i="8"/>
  <c r="G52" i="8"/>
  <c r="E52" i="8"/>
  <c r="H52" i="8" s="1"/>
  <c r="C52" i="8"/>
  <c r="G51" i="8"/>
  <c r="E51" i="8"/>
  <c r="H51" i="8" s="1"/>
  <c r="C51" i="8"/>
  <c r="AH186" i="9"/>
  <c r="AI186" i="9"/>
  <c r="AH184" i="9"/>
  <c r="AI184" i="9"/>
  <c r="AH182" i="9"/>
  <c r="AI182" i="9"/>
  <c r="AH180" i="9"/>
  <c r="AI180" i="9"/>
  <c r="AG186" i="9"/>
  <c r="AG184" i="9"/>
  <c r="AG182" i="9"/>
  <c r="AG180" i="9"/>
  <c r="V186" i="9"/>
  <c r="W186" i="9"/>
  <c r="V184" i="9"/>
  <c r="W184" i="9"/>
  <c r="V182" i="9"/>
  <c r="W182" i="9"/>
  <c r="V180" i="9"/>
  <c r="W180" i="9"/>
  <c r="U186" i="9"/>
  <c r="U184" i="9"/>
  <c r="U182" i="9"/>
  <c r="U180" i="9"/>
  <c r="U6" i="9"/>
  <c r="AD164" i="9"/>
  <c r="AB164" i="9"/>
  <c r="AA164" i="9"/>
  <c r="Z164" i="9"/>
  <c r="AI162" i="9"/>
  <c r="AH162" i="9"/>
  <c r="AG162" i="9"/>
  <c r="AD160" i="9"/>
  <c r="AB160" i="9"/>
  <c r="AE160" i="9" s="1"/>
  <c r="AA160" i="9"/>
  <c r="Z160" i="9"/>
  <c r="AI159" i="9"/>
  <c r="AH159" i="9"/>
  <c r="AG159" i="9"/>
  <c r="AD159" i="9"/>
  <c r="AB159" i="9"/>
  <c r="AA159" i="9"/>
  <c r="Z159" i="9"/>
  <c r="AD158" i="9"/>
  <c r="AB158" i="9"/>
  <c r="AE158" i="9" s="1"/>
  <c r="AA158" i="9"/>
  <c r="Z158" i="9"/>
  <c r="AI156" i="9"/>
  <c r="AH156" i="9"/>
  <c r="AG156" i="9"/>
  <c r="AD155" i="9"/>
  <c r="AB155" i="9"/>
  <c r="AE155" i="9" s="1"/>
  <c r="AA155" i="9"/>
  <c r="Z155" i="9"/>
  <c r="AD154" i="9"/>
  <c r="AB154" i="9"/>
  <c r="AE154" i="9" s="1"/>
  <c r="AA154" i="9"/>
  <c r="Z154" i="9"/>
  <c r="AI153" i="9"/>
  <c r="AH153" i="9"/>
  <c r="AG153" i="9"/>
  <c r="AG168" i="9" s="1"/>
  <c r="K138" i="1" s="1"/>
  <c r="AD153" i="9"/>
  <c r="AB153" i="9"/>
  <c r="AA153" i="9"/>
  <c r="Z153" i="9"/>
  <c r="AD146" i="9"/>
  <c r="AB146" i="9"/>
  <c r="AA146" i="9"/>
  <c r="Z146" i="9"/>
  <c r="AI144" i="9"/>
  <c r="AH144" i="9"/>
  <c r="AG144" i="9"/>
  <c r="AD142" i="9"/>
  <c r="AB142" i="9"/>
  <c r="AA142" i="9"/>
  <c r="Z142" i="9"/>
  <c r="AI141" i="9"/>
  <c r="AH141" i="9"/>
  <c r="AG141" i="9"/>
  <c r="AD141" i="9"/>
  <c r="AB141" i="9"/>
  <c r="AE141" i="9" s="1"/>
  <c r="AA141" i="9"/>
  <c r="Z141" i="9"/>
  <c r="AD140" i="9"/>
  <c r="AB140" i="9"/>
  <c r="AE140" i="9" s="1"/>
  <c r="AA140" i="9"/>
  <c r="Z140" i="9"/>
  <c r="AI138" i="9"/>
  <c r="AH138" i="9"/>
  <c r="AG138" i="9"/>
  <c r="AD137" i="9"/>
  <c r="AB137" i="9"/>
  <c r="AE137" i="9" s="1"/>
  <c r="AA137" i="9"/>
  <c r="Z137" i="9"/>
  <c r="AD136" i="9"/>
  <c r="AB136" i="9"/>
  <c r="AA136" i="9"/>
  <c r="Z136" i="9"/>
  <c r="AI135" i="9"/>
  <c r="AH135" i="9"/>
  <c r="AH168" i="9" s="1"/>
  <c r="L138" i="1" s="1"/>
  <c r="AG135" i="9"/>
  <c r="AD135" i="9"/>
  <c r="AB135" i="9"/>
  <c r="AA135" i="9"/>
  <c r="Z135" i="9"/>
  <c r="AD128" i="9"/>
  <c r="AB128" i="9"/>
  <c r="AA128" i="9"/>
  <c r="Z128" i="9"/>
  <c r="AI126" i="9"/>
  <c r="AH126" i="9"/>
  <c r="AG126" i="9"/>
  <c r="AD124" i="9"/>
  <c r="AB124" i="9"/>
  <c r="AA124" i="9"/>
  <c r="Z124" i="9"/>
  <c r="AI123" i="9"/>
  <c r="AH123" i="9"/>
  <c r="AG123" i="9"/>
  <c r="AD123" i="9"/>
  <c r="AB123" i="9"/>
  <c r="AE123" i="9" s="1"/>
  <c r="AA123" i="9"/>
  <c r="Z123" i="9"/>
  <c r="AD122" i="9"/>
  <c r="AB122" i="9"/>
  <c r="AE122" i="9" s="1"/>
  <c r="AA122" i="9"/>
  <c r="Z122" i="9"/>
  <c r="AI120" i="9"/>
  <c r="AH120" i="9"/>
  <c r="AG120" i="9"/>
  <c r="AD119" i="9"/>
  <c r="AB119" i="9"/>
  <c r="AE119" i="9" s="1"/>
  <c r="AA119" i="9"/>
  <c r="Z119" i="9"/>
  <c r="AD118" i="9"/>
  <c r="AB118" i="9"/>
  <c r="AA118" i="9"/>
  <c r="Z118" i="9"/>
  <c r="AI117" i="9"/>
  <c r="AH117" i="9"/>
  <c r="AG117" i="9"/>
  <c r="AD117" i="9"/>
  <c r="AB117" i="9"/>
  <c r="AE117" i="9" s="1"/>
  <c r="AA117" i="9"/>
  <c r="Z117" i="9"/>
  <c r="AD110" i="9"/>
  <c r="AB110" i="9"/>
  <c r="AA110" i="9"/>
  <c r="Z110" i="9"/>
  <c r="AI108" i="9"/>
  <c r="AH108" i="9"/>
  <c r="AG108" i="9"/>
  <c r="AD106" i="9"/>
  <c r="AB106" i="9"/>
  <c r="AE106" i="9" s="1"/>
  <c r="AA106" i="9"/>
  <c r="Z106" i="9"/>
  <c r="AI105" i="9"/>
  <c r="AH105" i="9"/>
  <c r="AG105" i="9"/>
  <c r="AD105" i="9"/>
  <c r="AB105" i="9"/>
  <c r="AA105" i="9"/>
  <c r="Z105" i="9"/>
  <c r="AE104" i="9"/>
  <c r="AD104" i="9"/>
  <c r="AB104" i="9"/>
  <c r="AA104" i="9"/>
  <c r="Z104" i="9"/>
  <c r="AI102" i="9"/>
  <c r="AH102" i="9"/>
  <c r="AG102" i="9"/>
  <c r="AE101" i="9"/>
  <c r="AD101" i="9"/>
  <c r="AB101" i="9"/>
  <c r="AA101" i="9"/>
  <c r="Z101" i="9"/>
  <c r="AD100" i="9"/>
  <c r="AB100" i="9"/>
  <c r="AE100" i="9" s="1"/>
  <c r="AA100" i="9"/>
  <c r="Z100" i="9"/>
  <c r="AI99" i="9"/>
  <c r="AH99" i="9"/>
  <c r="AG99" i="9"/>
  <c r="AD99" i="9"/>
  <c r="AB99" i="9"/>
  <c r="AA99" i="9"/>
  <c r="Z99" i="9"/>
  <c r="AD92" i="9"/>
  <c r="AB92" i="9"/>
  <c r="AA92" i="9"/>
  <c r="Z92" i="9"/>
  <c r="AI90" i="9"/>
  <c r="AH90" i="9"/>
  <c r="AG90" i="9"/>
  <c r="AD88" i="9"/>
  <c r="AB88" i="9"/>
  <c r="AE88" i="9" s="1"/>
  <c r="AA88" i="9"/>
  <c r="Z88" i="9"/>
  <c r="AI87" i="9"/>
  <c r="AH87" i="9"/>
  <c r="AG87" i="9"/>
  <c r="AD87" i="9"/>
  <c r="AB87" i="9"/>
  <c r="AA87" i="9"/>
  <c r="Z87" i="9"/>
  <c r="AD86" i="9"/>
  <c r="AB86" i="9"/>
  <c r="AE86" i="9" s="1"/>
  <c r="AA86" i="9"/>
  <c r="Z86" i="9"/>
  <c r="AI84" i="9"/>
  <c r="AH84" i="9"/>
  <c r="AG84" i="9"/>
  <c r="AD83" i="9"/>
  <c r="AB83" i="9"/>
  <c r="AA83" i="9"/>
  <c r="Z83" i="9"/>
  <c r="AD82" i="9"/>
  <c r="AB82" i="9"/>
  <c r="AE82" i="9" s="1"/>
  <c r="AA82" i="9"/>
  <c r="Z82" i="9"/>
  <c r="AI81" i="9"/>
  <c r="AH81" i="9"/>
  <c r="AG81" i="9"/>
  <c r="AD81" i="9"/>
  <c r="AB81" i="9"/>
  <c r="AA81" i="9"/>
  <c r="Z81" i="9"/>
  <c r="AD74" i="9"/>
  <c r="AB74" i="9"/>
  <c r="AA74" i="9"/>
  <c r="Z74" i="9"/>
  <c r="AI72" i="9"/>
  <c r="AH72" i="9"/>
  <c r="AG72" i="9"/>
  <c r="AD70" i="9"/>
  <c r="AB70" i="9"/>
  <c r="AE70" i="9" s="1"/>
  <c r="AA70" i="9"/>
  <c r="Z70" i="9"/>
  <c r="AI69" i="9"/>
  <c r="AH69" i="9"/>
  <c r="AG69" i="9"/>
  <c r="AD69" i="9"/>
  <c r="AB69" i="9"/>
  <c r="AA69" i="9"/>
  <c r="Z69" i="9"/>
  <c r="AD68" i="9"/>
  <c r="AB68" i="9"/>
  <c r="AE68" i="9" s="1"/>
  <c r="AA68" i="9"/>
  <c r="Z68" i="9"/>
  <c r="AI66" i="9"/>
  <c r="AH66" i="9"/>
  <c r="AG66" i="9"/>
  <c r="AD65" i="9"/>
  <c r="AB65" i="9"/>
  <c r="AA65" i="9"/>
  <c r="Z65" i="9"/>
  <c r="AD64" i="9"/>
  <c r="AB64" i="9"/>
  <c r="AE64" i="9" s="1"/>
  <c r="AA64" i="9"/>
  <c r="Z64" i="9"/>
  <c r="AI63" i="9"/>
  <c r="AH63" i="9"/>
  <c r="AG63" i="9"/>
  <c r="AD63" i="9"/>
  <c r="AB63" i="9"/>
  <c r="AA63" i="9"/>
  <c r="Z63" i="9"/>
  <c r="AD56" i="9"/>
  <c r="AB56" i="9"/>
  <c r="AA56" i="9"/>
  <c r="Z56" i="9"/>
  <c r="AI54" i="9"/>
  <c r="AH54" i="9"/>
  <c r="AG54" i="9"/>
  <c r="AD52" i="9"/>
  <c r="AB52" i="9"/>
  <c r="AE52" i="9" s="1"/>
  <c r="AA52" i="9"/>
  <c r="Z52" i="9"/>
  <c r="AI51" i="9"/>
  <c r="AH51" i="9"/>
  <c r="AG51" i="9"/>
  <c r="AD51" i="9"/>
  <c r="AB51" i="9"/>
  <c r="AA51" i="9"/>
  <c r="Z51" i="9"/>
  <c r="AD50" i="9"/>
  <c r="AB50" i="9"/>
  <c r="AE50" i="9" s="1"/>
  <c r="AA50" i="9"/>
  <c r="Z50" i="9"/>
  <c r="AI48" i="9"/>
  <c r="AH48" i="9"/>
  <c r="AG48" i="9"/>
  <c r="AD47" i="9"/>
  <c r="AB47" i="9"/>
  <c r="AA47" i="9"/>
  <c r="Z47" i="9"/>
  <c r="AD46" i="9"/>
  <c r="AB46" i="9"/>
  <c r="AE46" i="9" s="1"/>
  <c r="AA46" i="9"/>
  <c r="Z46" i="9"/>
  <c r="AI45" i="9"/>
  <c r="AH45" i="9"/>
  <c r="AG45" i="9"/>
  <c r="AD45" i="9"/>
  <c r="AB45" i="9"/>
  <c r="AA45" i="9"/>
  <c r="Z45" i="9"/>
  <c r="AD38" i="9"/>
  <c r="AB38" i="9"/>
  <c r="AA38" i="9"/>
  <c r="Z38" i="9"/>
  <c r="AI36" i="9"/>
  <c r="AH36" i="9"/>
  <c r="AG36" i="9"/>
  <c r="AD34" i="9"/>
  <c r="AB34" i="9"/>
  <c r="AE34" i="9" s="1"/>
  <c r="AA34" i="9"/>
  <c r="Z34" i="9"/>
  <c r="AI33" i="9"/>
  <c r="AH33" i="9"/>
  <c r="AG33" i="9"/>
  <c r="AD33" i="9"/>
  <c r="AB33" i="9"/>
  <c r="AA33" i="9"/>
  <c r="Z33" i="9"/>
  <c r="AD32" i="9"/>
  <c r="AB32" i="9"/>
  <c r="AE32" i="9" s="1"/>
  <c r="AA32" i="9"/>
  <c r="Z32" i="9"/>
  <c r="AI30" i="9"/>
  <c r="AH30" i="9"/>
  <c r="AG30" i="9"/>
  <c r="AD29" i="9"/>
  <c r="AB29" i="9"/>
  <c r="AA29" i="9"/>
  <c r="Z29" i="9"/>
  <c r="AD28" i="9"/>
  <c r="AB28" i="9"/>
  <c r="AE28" i="9" s="1"/>
  <c r="AA28" i="9"/>
  <c r="Z28" i="9"/>
  <c r="AI27" i="9"/>
  <c r="AH27" i="9"/>
  <c r="AG27" i="9"/>
  <c r="AD27" i="9"/>
  <c r="AB27" i="9"/>
  <c r="AA27" i="9"/>
  <c r="Z27" i="9"/>
  <c r="AD20" i="9"/>
  <c r="AB20" i="9"/>
  <c r="AA20" i="9"/>
  <c r="Z20" i="9"/>
  <c r="AD19" i="9"/>
  <c r="AB19" i="9"/>
  <c r="AA19" i="9"/>
  <c r="Z19" i="9"/>
  <c r="AD16" i="9"/>
  <c r="AB16" i="9"/>
  <c r="AA16" i="9"/>
  <c r="Z16" i="9"/>
  <c r="AI15" i="9"/>
  <c r="AH15" i="9"/>
  <c r="AG15" i="9"/>
  <c r="AD13" i="9"/>
  <c r="AB13" i="9"/>
  <c r="AE13" i="9" s="1"/>
  <c r="AA13" i="9"/>
  <c r="Z13" i="9"/>
  <c r="AI12" i="9"/>
  <c r="AI172" i="9" s="1"/>
  <c r="AH12" i="9"/>
  <c r="AG12" i="9"/>
  <c r="AD12" i="9"/>
  <c r="AB12" i="9"/>
  <c r="AA12" i="9"/>
  <c r="Z12" i="9"/>
  <c r="AD11" i="9"/>
  <c r="AB11" i="9"/>
  <c r="AE11" i="9" s="1"/>
  <c r="AA11" i="9"/>
  <c r="Z11" i="9"/>
  <c r="AI9" i="9"/>
  <c r="AH9" i="9"/>
  <c r="AG9" i="9"/>
  <c r="AD8" i="9"/>
  <c r="AB8" i="9"/>
  <c r="AE8" i="9" s="1"/>
  <c r="AA8" i="9"/>
  <c r="Z8" i="9"/>
  <c r="AD7" i="9"/>
  <c r="AB7" i="9"/>
  <c r="AE7" i="9" s="1"/>
  <c r="AA7" i="9"/>
  <c r="Z7" i="9"/>
  <c r="AI6" i="9"/>
  <c r="AH6" i="9"/>
  <c r="AG6" i="9"/>
  <c r="AD6" i="9"/>
  <c r="AB6" i="9"/>
  <c r="AA6" i="9"/>
  <c r="Z6" i="9"/>
  <c r="R164" i="9"/>
  <c r="P164" i="9"/>
  <c r="S164" i="9" s="1"/>
  <c r="O164" i="9"/>
  <c r="N164" i="9"/>
  <c r="W162" i="9"/>
  <c r="V162" i="9"/>
  <c r="U162" i="9"/>
  <c r="R160" i="9"/>
  <c r="P160" i="9"/>
  <c r="O160" i="9"/>
  <c r="N160" i="9"/>
  <c r="W159" i="9"/>
  <c r="V159" i="9"/>
  <c r="U159" i="9"/>
  <c r="R159" i="9"/>
  <c r="P159" i="9"/>
  <c r="O159" i="9"/>
  <c r="N159" i="9"/>
  <c r="R158" i="9"/>
  <c r="P158" i="9"/>
  <c r="O158" i="9"/>
  <c r="N158" i="9"/>
  <c r="W156" i="9"/>
  <c r="V156" i="9"/>
  <c r="U156" i="9"/>
  <c r="R155" i="9"/>
  <c r="P155" i="9"/>
  <c r="O155" i="9"/>
  <c r="N155" i="9"/>
  <c r="R154" i="9"/>
  <c r="P154" i="9"/>
  <c r="S154" i="9" s="1"/>
  <c r="O154" i="9"/>
  <c r="N154" i="9"/>
  <c r="W153" i="9"/>
  <c r="V153" i="9"/>
  <c r="U153" i="9"/>
  <c r="R153" i="9"/>
  <c r="P153" i="9"/>
  <c r="O153" i="9"/>
  <c r="N153" i="9"/>
  <c r="R146" i="9"/>
  <c r="P146" i="9"/>
  <c r="S146" i="9" s="1"/>
  <c r="O146" i="9"/>
  <c r="N146" i="9"/>
  <c r="W144" i="9"/>
  <c r="V144" i="9"/>
  <c r="U144" i="9"/>
  <c r="R142" i="9"/>
  <c r="P142" i="9"/>
  <c r="O142" i="9"/>
  <c r="N142" i="9"/>
  <c r="W141" i="9"/>
  <c r="V141" i="9"/>
  <c r="U141" i="9"/>
  <c r="R141" i="9"/>
  <c r="P141" i="9"/>
  <c r="O141" i="9"/>
  <c r="N141" i="9"/>
  <c r="R140" i="9"/>
  <c r="P140" i="9"/>
  <c r="O140" i="9"/>
  <c r="N140" i="9"/>
  <c r="W138" i="9"/>
  <c r="V138" i="9"/>
  <c r="U138" i="9"/>
  <c r="R137" i="9"/>
  <c r="P137" i="9"/>
  <c r="O137" i="9"/>
  <c r="N137" i="9"/>
  <c r="R136" i="9"/>
  <c r="P136" i="9"/>
  <c r="S136" i="9" s="1"/>
  <c r="O136" i="9"/>
  <c r="N136" i="9"/>
  <c r="W135" i="9"/>
  <c r="V135" i="9"/>
  <c r="U135" i="9"/>
  <c r="R135" i="9"/>
  <c r="P135" i="9"/>
  <c r="O135" i="9"/>
  <c r="N135" i="9"/>
  <c r="R128" i="9"/>
  <c r="P128" i="9"/>
  <c r="S128" i="9" s="1"/>
  <c r="O128" i="9"/>
  <c r="N128" i="9"/>
  <c r="W126" i="9"/>
  <c r="V126" i="9"/>
  <c r="U126" i="9"/>
  <c r="R124" i="9"/>
  <c r="P124" i="9"/>
  <c r="O124" i="9"/>
  <c r="N124" i="9"/>
  <c r="W123" i="9"/>
  <c r="V123" i="9"/>
  <c r="U123" i="9"/>
  <c r="R123" i="9"/>
  <c r="P123" i="9"/>
  <c r="O123" i="9"/>
  <c r="N123" i="9"/>
  <c r="R122" i="9"/>
  <c r="P122" i="9"/>
  <c r="O122" i="9"/>
  <c r="N122" i="9"/>
  <c r="W120" i="9"/>
  <c r="V120" i="9"/>
  <c r="U120" i="9"/>
  <c r="R119" i="9"/>
  <c r="P119" i="9"/>
  <c r="O119" i="9"/>
  <c r="N119" i="9"/>
  <c r="R118" i="9"/>
  <c r="P118" i="9"/>
  <c r="S118" i="9" s="1"/>
  <c r="O118" i="9"/>
  <c r="N118" i="9"/>
  <c r="W117" i="9"/>
  <c r="V117" i="9"/>
  <c r="U117" i="9"/>
  <c r="R117" i="9"/>
  <c r="P117" i="9"/>
  <c r="O117" i="9"/>
  <c r="N117" i="9"/>
  <c r="R110" i="9"/>
  <c r="P110" i="9"/>
  <c r="S110" i="9" s="1"/>
  <c r="O110" i="9"/>
  <c r="N110" i="9"/>
  <c r="W108" i="9"/>
  <c r="V108" i="9"/>
  <c r="U108" i="9"/>
  <c r="R106" i="9"/>
  <c r="P106" i="9"/>
  <c r="O106" i="9"/>
  <c r="N106" i="9"/>
  <c r="W105" i="9"/>
  <c r="V105" i="9"/>
  <c r="U105" i="9"/>
  <c r="R105" i="9"/>
  <c r="P105" i="9"/>
  <c r="O105" i="9"/>
  <c r="N105" i="9"/>
  <c r="R104" i="9"/>
  <c r="P104" i="9"/>
  <c r="O104" i="9"/>
  <c r="N104" i="9"/>
  <c r="W102" i="9"/>
  <c r="V102" i="9"/>
  <c r="U102" i="9"/>
  <c r="R101" i="9"/>
  <c r="P101" i="9"/>
  <c r="O101" i="9"/>
  <c r="N101" i="9"/>
  <c r="R100" i="9"/>
  <c r="P100" i="9"/>
  <c r="S100" i="9" s="1"/>
  <c r="O100" i="9"/>
  <c r="N100" i="9"/>
  <c r="W99" i="9"/>
  <c r="V99" i="9"/>
  <c r="U99" i="9"/>
  <c r="R99" i="9"/>
  <c r="P99" i="9"/>
  <c r="O99" i="9"/>
  <c r="N99" i="9"/>
  <c r="R92" i="9"/>
  <c r="P92" i="9"/>
  <c r="O92" i="9"/>
  <c r="N92" i="9"/>
  <c r="W90" i="9"/>
  <c r="V90" i="9"/>
  <c r="U90" i="9"/>
  <c r="R88" i="9"/>
  <c r="P88" i="9"/>
  <c r="O88" i="9"/>
  <c r="N88" i="9"/>
  <c r="W87" i="9"/>
  <c r="V87" i="9"/>
  <c r="U87" i="9"/>
  <c r="R87" i="9"/>
  <c r="P87" i="9"/>
  <c r="O87" i="9"/>
  <c r="N87" i="9"/>
  <c r="R86" i="9"/>
  <c r="P86" i="9"/>
  <c r="O86" i="9"/>
  <c r="N86" i="9"/>
  <c r="W84" i="9"/>
  <c r="V84" i="9"/>
  <c r="U84" i="9"/>
  <c r="R83" i="9"/>
  <c r="P83" i="9"/>
  <c r="O83" i="9"/>
  <c r="N83" i="9"/>
  <c r="R82" i="9"/>
  <c r="P82" i="9"/>
  <c r="S82" i="9" s="1"/>
  <c r="O82" i="9"/>
  <c r="N82" i="9"/>
  <c r="W81" i="9"/>
  <c r="V81" i="9"/>
  <c r="U81" i="9"/>
  <c r="R81" i="9"/>
  <c r="P81" i="9"/>
  <c r="O81" i="9"/>
  <c r="N81" i="9"/>
  <c r="R74" i="9"/>
  <c r="P74" i="9"/>
  <c r="O74" i="9"/>
  <c r="S74" i="9" s="1"/>
  <c r="N74" i="9"/>
  <c r="W72" i="9"/>
  <c r="V72" i="9"/>
  <c r="U72" i="9"/>
  <c r="R70" i="9"/>
  <c r="P70" i="9"/>
  <c r="O70" i="9"/>
  <c r="S70" i="9" s="1"/>
  <c r="N70" i="9"/>
  <c r="W69" i="9"/>
  <c r="V69" i="9"/>
  <c r="U69" i="9"/>
  <c r="R69" i="9"/>
  <c r="P69" i="9"/>
  <c r="O69" i="9"/>
  <c r="N69" i="9"/>
  <c r="R68" i="9"/>
  <c r="P68" i="9"/>
  <c r="O68" i="9"/>
  <c r="N68" i="9"/>
  <c r="W66" i="9"/>
  <c r="V66" i="9"/>
  <c r="U66" i="9"/>
  <c r="R65" i="9"/>
  <c r="P65" i="9"/>
  <c r="O65" i="9"/>
  <c r="N65" i="9"/>
  <c r="R64" i="9"/>
  <c r="P64" i="9"/>
  <c r="S64" i="9" s="1"/>
  <c r="O64" i="9"/>
  <c r="N64" i="9"/>
  <c r="W63" i="9"/>
  <c r="V63" i="9"/>
  <c r="U63" i="9"/>
  <c r="R63" i="9"/>
  <c r="P63" i="9"/>
  <c r="O63" i="9"/>
  <c r="N63" i="9"/>
  <c r="R56" i="9"/>
  <c r="P56" i="9"/>
  <c r="O56" i="9"/>
  <c r="S56" i="9" s="1"/>
  <c r="N56" i="9"/>
  <c r="W54" i="9"/>
  <c r="V54" i="9"/>
  <c r="U54" i="9"/>
  <c r="R52" i="9"/>
  <c r="P52" i="9"/>
  <c r="O52" i="9"/>
  <c r="S52" i="9" s="1"/>
  <c r="N52" i="9"/>
  <c r="W51" i="9"/>
  <c r="V51" i="9"/>
  <c r="U51" i="9"/>
  <c r="R51" i="9"/>
  <c r="P51" i="9"/>
  <c r="O51" i="9"/>
  <c r="S51" i="9" s="1"/>
  <c r="N51" i="9"/>
  <c r="R50" i="9"/>
  <c r="P50" i="9"/>
  <c r="O50" i="9"/>
  <c r="N50" i="9"/>
  <c r="W48" i="9"/>
  <c r="V48" i="9"/>
  <c r="U48" i="9"/>
  <c r="R47" i="9"/>
  <c r="P47" i="9"/>
  <c r="O47" i="9"/>
  <c r="N47" i="9"/>
  <c r="R46" i="9"/>
  <c r="P46" i="9"/>
  <c r="S46" i="9" s="1"/>
  <c r="O46" i="9"/>
  <c r="N46" i="9"/>
  <c r="W45" i="9"/>
  <c r="V45" i="9"/>
  <c r="U45" i="9"/>
  <c r="R45" i="9"/>
  <c r="P45" i="9"/>
  <c r="O45" i="9"/>
  <c r="N45" i="9"/>
  <c r="R38" i="9"/>
  <c r="P38" i="9"/>
  <c r="O38" i="9"/>
  <c r="S38" i="9" s="1"/>
  <c r="N38" i="9"/>
  <c r="W36" i="9"/>
  <c r="V36" i="9"/>
  <c r="U36" i="9"/>
  <c r="R34" i="9"/>
  <c r="P34" i="9"/>
  <c r="O34" i="9"/>
  <c r="S34" i="9" s="1"/>
  <c r="N34" i="9"/>
  <c r="W33" i="9"/>
  <c r="V33" i="9"/>
  <c r="U33" i="9"/>
  <c r="R33" i="9"/>
  <c r="P33" i="9"/>
  <c r="O33" i="9"/>
  <c r="N33" i="9"/>
  <c r="R32" i="9"/>
  <c r="P32" i="9"/>
  <c r="O32" i="9"/>
  <c r="N32" i="9"/>
  <c r="W30" i="9"/>
  <c r="V30" i="9"/>
  <c r="U30" i="9"/>
  <c r="R29" i="9"/>
  <c r="P29" i="9"/>
  <c r="O29" i="9"/>
  <c r="N29" i="9"/>
  <c r="R28" i="9"/>
  <c r="P28" i="9"/>
  <c r="S28" i="9" s="1"/>
  <c r="O28" i="9"/>
  <c r="N28" i="9"/>
  <c r="W27" i="9"/>
  <c r="V27" i="9"/>
  <c r="U27" i="9"/>
  <c r="R27" i="9"/>
  <c r="P27" i="9"/>
  <c r="O27" i="9"/>
  <c r="N27" i="9"/>
  <c r="R20" i="9"/>
  <c r="P20" i="9"/>
  <c r="O20" i="9"/>
  <c r="S20" i="9" s="1"/>
  <c r="N20" i="9"/>
  <c r="R19" i="9"/>
  <c r="P19" i="9"/>
  <c r="S19" i="9" s="1"/>
  <c r="O19" i="9"/>
  <c r="N19" i="9"/>
  <c r="R16" i="9"/>
  <c r="P16" i="9"/>
  <c r="S16" i="9" s="1"/>
  <c r="O16" i="9"/>
  <c r="N16" i="9"/>
  <c r="W15" i="9"/>
  <c r="V15" i="9"/>
  <c r="U15" i="9"/>
  <c r="R13" i="9"/>
  <c r="P13" i="9"/>
  <c r="O13" i="9"/>
  <c r="N13" i="9"/>
  <c r="W12" i="9"/>
  <c r="W172" i="9" s="1"/>
  <c r="I142" i="1" s="1"/>
  <c r="V12" i="9"/>
  <c r="U12" i="9"/>
  <c r="R12" i="9"/>
  <c r="P12" i="9"/>
  <c r="O12" i="9"/>
  <c r="N12" i="9"/>
  <c r="R11" i="9"/>
  <c r="P11" i="9"/>
  <c r="S11" i="9" s="1"/>
  <c r="O11" i="9"/>
  <c r="N11" i="9"/>
  <c r="W9" i="9"/>
  <c r="V9" i="9"/>
  <c r="U9" i="9"/>
  <c r="R8" i="9"/>
  <c r="P8" i="9"/>
  <c r="S8" i="9" s="1"/>
  <c r="O8" i="9"/>
  <c r="N8" i="9"/>
  <c r="R7" i="9"/>
  <c r="P7" i="9"/>
  <c r="O7" i="9"/>
  <c r="N7" i="9"/>
  <c r="W6" i="9"/>
  <c r="V6" i="9"/>
  <c r="R6" i="9"/>
  <c r="P6" i="9"/>
  <c r="O6" i="9"/>
  <c r="N6" i="9"/>
  <c r="AH170" i="9" l="1"/>
  <c r="L140" i="1" s="1"/>
  <c r="S6" i="9"/>
  <c r="S27" i="9"/>
  <c r="S45" i="9"/>
  <c r="S63" i="9"/>
  <c r="S81" i="9"/>
  <c r="S93" i="9" s="1"/>
  <c r="S99" i="9"/>
  <c r="S111" i="9" s="1"/>
  <c r="S117" i="9"/>
  <c r="S129" i="9" s="1"/>
  <c r="S135" i="9"/>
  <c r="S153" i="9"/>
  <c r="U172" i="9"/>
  <c r="G142" i="1" s="1"/>
  <c r="V174" i="9"/>
  <c r="AE6" i="9"/>
  <c r="AE12" i="9"/>
  <c r="AE21" i="9" s="1"/>
  <c r="AE33" i="9"/>
  <c r="AE51" i="9"/>
  <c r="AE69" i="9"/>
  <c r="AE87" i="9"/>
  <c r="AE110" i="9"/>
  <c r="AE153" i="9"/>
  <c r="AI170" i="9"/>
  <c r="M140" i="1" s="1"/>
  <c r="AE159" i="9"/>
  <c r="S86" i="9"/>
  <c r="S104" i="9"/>
  <c r="S122" i="9"/>
  <c r="S140" i="9"/>
  <c r="S158" i="9"/>
  <c r="AE19" i="9"/>
  <c r="AE27" i="9"/>
  <c r="AE45" i="9"/>
  <c r="AE57" i="9" s="1"/>
  <c r="AE63" i="9"/>
  <c r="AE75" i="9" s="1"/>
  <c r="AE81" i="9"/>
  <c r="AE93" i="9" s="1"/>
  <c r="AE99" i="9"/>
  <c r="AE105" i="9"/>
  <c r="AE128" i="9"/>
  <c r="AG172" i="9"/>
  <c r="K142" i="1" s="1"/>
  <c r="AH174" i="9"/>
  <c r="U168" i="9"/>
  <c r="G138" i="1" s="1"/>
  <c r="W170" i="9"/>
  <c r="I140" i="1" s="1"/>
  <c r="AG170" i="9"/>
  <c r="K140" i="1" s="1"/>
  <c r="V172" i="9"/>
  <c r="H142" i="1" s="1"/>
  <c r="S47" i="9"/>
  <c r="S65" i="9"/>
  <c r="S83" i="9"/>
  <c r="S92" i="9"/>
  <c r="S101" i="9"/>
  <c r="S119" i="9"/>
  <c r="S137" i="9"/>
  <c r="S147" i="9" s="1"/>
  <c r="V168" i="9"/>
  <c r="H138" i="1" s="1"/>
  <c r="S155" i="9"/>
  <c r="AE118" i="9"/>
  <c r="AE124" i="9"/>
  <c r="AH172" i="9"/>
  <c r="L142" i="1" s="1"/>
  <c r="AI174" i="9"/>
  <c r="W174" i="9"/>
  <c r="W168" i="9"/>
  <c r="I138" i="1" s="1"/>
  <c r="AE129" i="9"/>
  <c r="AE146" i="9"/>
  <c r="AI168" i="9"/>
  <c r="M138" i="1" s="1"/>
  <c r="U174" i="9"/>
  <c r="S32" i="9"/>
  <c r="S50" i="9"/>
  <c r="S68" i="9"/>
  <c r="S13" i="9"/>
  <c r="S88" i="9"/>
  <c r="S106" i="9"/>
  <c r="S124" i="9"/>
  <c r="S142" i="9"/>
  <c r="U170" i="9"/>
  <c r="G140" i="1" s="1"/>
  <c r="S160" i="9"/>
  <c r="AE29" i="9"/>
  <c r="AE39" i="9" s="1"/>
  <c r="AE47" i="9"/>
  <c r="AE65" i="9"/>
  <c r="AE83" i="9"/>
  <c r="AG174" i="9"/>
  <c r="AE136" i="9"/>
  <c r="AE142" i="9"/>
  <c r="S29" i="9"/>
  <c r="S7" i="9"/>
  <c r="S21" i="9" s="1"/>
  <c r="S12" i="9"/>
  <c r="S33" i="9"/>
  <c r="S69" i="9"/>
  <c r="S87" i="9"/>
  <c r="S105" i="9"/>
  <c r="S123" i="9"/>
  <c r="S141" i="9"/>
  <c r="V170" i="9"/>
  <c r="H140" i="1" s="1"/>
  <c r="S159" i="9"/>
  <c r="S165" i="9" s="1"/>
  <c r="S174" i="9" s="1"/>
  <c r="G21" i="1" s="1"/>
  <c r="AE16" i="9"/>
  <c r="AE20" i="9"/>
  <c r="AE38" i="9"/>
  <c r="AE56" i="9"/>
  <c r="AE74" i="9"/>
  <c r="AE92" i="9"/>
  <c r="AE135" i="9"/>
  <c r="AE147" i="9" s="1"/>
  <c r="AE164" i="9"/>
  <c r="AE111" i="9"/>
  <c r="S39" i="9"/>
  <c r="S75" i="9"/>
  <c r="S57" i="9"/>
  <c r="AE165" i="9" l="1"/>
  <c r="AE174" i="9" s="1"/>
  <c r="K21" i="1" s="1"/>
  <c r="F164" i="9" l="1"/>
  <c r="D164" i="9"/>
  <c r="C164" i="9"/>
  <c r="B164" i="9"/>
  <c r="K162" i="9"/>
  <c r="J162" i="9"/>
  <c r="I162" i="9"/>
  <c r="F160" i="9"/>
  <c r="D160" i="9"/>
  <c r="C160" i="9"/>
  <c r="B160" i="9"/>
  <c r="K159" i="9"/>
  <c r="J159" i="9"/>
  <c r="I159" i="9"/>
  <c r="F159" i="9"/>
  <c r="D159" i="9"/>
  <c r="C159" i="9"/>
  <c r="B159" i="9"/>
  <c r="F158" i="9"/>
  <c r="D158" i="9"/>
  <c r="C158" i="9"/>
  <c r="B158" i="9"/>
  <c r="K156" i="9"/>
  <c r="J156" i="9"/>
  <c r="I156" i="9"/>
  <c r="F155" i="9"/>
  <c r="D155" i="9"/>
  <c r="C155" i="9"/>
  <c r="B155" i="9"/>
  <c r="F154" i="9"/>
  <c r="D154" i="9"/>
  <c r="C154" i="9"/>
  <c r="B154" i="9"/>
  <c r="K153" i="9"/>
  <c r="J153" i="9"/>
  <c r="I153" i="9"/>
  <c r="F153" i="9"/>
  <c r="D153" i="9"/>
  <c r="C153" i="9"/>
  <c r="B153" i="9"/>
  <c r="F146" i="9"/>
  <c r="D146" i="9"/>
  <c r="C146" i="9"/>
  <c r="B146" i="9"/>
  <c r="K144" i="9"/>
  <c r="J144" i="9"/>
  <c r="I144" i="9"/>
  <c r="F142" i="9"/>
  <c r="D142" i="9"/>
  <c r="C142" i="9"/>
  <c r="B142" i="9"/>
  <c r="K141" i="9"/>
  <c r="J141" i="9"/>
  <c r="I141" i="9"/>
  <c r="F141" i="9"/>
  <c r="D141" i="9"/>
  <c r="C141" i="9"/>
  <c r="B141" i="9"/>
  <c r="F140" i="9"/>
  <c r="D140" i="9"/>
  <c r="C140" i="9"/>
  <c r="B140" i="9"/>
  <c r="K138" i="9"/>
  <c r="J138" i="9"/>
  <c r="I138" i="9"/>
  <c r="F137" i="9"/>
  <c r="D137" i="9"/>
  <c r="C137" i="9"/>
  <c r="B137" i="9"/>
  <c r="F136" i="9"/>
  <c r="D136" i="9"/>
  <c r="C136" i="9"/>
  <c r="B136" i="9"/>
  <c r="K135" i="9"/>
  <c r="J135" i="9"/>
  <c r="I135" i="9"/>
  <c r="F135" i="9"/>
  <c r="D135" i="9"/>
  <c r="C135" i="9"/>
  <c r="B135" i="9"/>
  <c r="F128" i="9"/>
  <c r="D128" i="9"/>
  <c r="C128" i="9"/>
  <c r="B128" i="9"/>
  <c r="K126" i="9"/>
  <c r="J126" i="9"/>
  <c r="I126" i="9"/>
  <c r="F124" i="9"/>
  <c r="D124" i="9"/>
  <c r="C124" i="9"/>
  <c r="B124" i="9"/>
  <c r="K123" i="9"/>
  <c r="J123" i="9"/>
  <c r="I123" i="9"/>
  <c r="F123" i="9"/>
  <c r="D123" i="9"/>
  <c r="C123" i="9"/>
  <c r="B123" i="9"/>
  <c r="F122" i="9"/>
  <c r="D122" i="9"/>
  <c r="C122" i="9"/>
  <c r="B122" i="9"/>
  <c r="K120" i="9"/>
  <c r="J120" i="9"/>
  <c r="I120" i="9"/>
  <c r="F119" i="9"/>
  <c r="D119" i="9"/>
  <c r="C119" i="9"/>
  <c r="B119" i="9"/>
  <c r="F118" i="9"/>
  <c r="D118" i="9"/>
  <c r="C118" i="9"/>
  <c r="B118" i="9"/>
  <c r="K117" i="9"/>
  <c r="J117" i="9"/>
  <c r="I117" i="9"/>
  <c r="F117" i="9"/>
  <c r="D117" i="9"/>
  <c r="C117" i="9"/>
  <c r="B117" i="9"/>
  <c r="F110" i="9"/>
  <c r="D110" i="9"/>
  <c r="C110" i="9"/>
  <c r="B110" i="9"/>
  <c r="K108" i="9"/>
  <c r="J108" i="9"/>
  <c r="I108" i="9"/>
  <c r="F106" i="9"/>
  <c r="D106" i="9"/>
  <c r="C106" i="9"/>
  <c r="B106" i="9"/>
  <c r="K105" i="9"/>
  <c r="J105" i="9"/>
  <c r="I105" i="9"/>
  <c r="F105" i="9"/>
  <c r="D105" i="9"/>
  <c r="C105" i="9"/>
  <c r="B105" i="9"/>
  <c r="F104" i="9"/>
  <c r="D104" i="9"/>
  <c r="C104" i="9"/>
  <c r="B104" i="9"/>
  <c r="K102" i="9"/>
  <c r="J102" i="9"/>
  <c r="I102" i="9"/>
  <c r="F101" i="9"/>
  <c r="D101" i="9"/>
  <c r="C101" i="9"/>
  <c r="B101" i="9"/>
  <c r="F100" i="9"/>
  <c r="D100" i="9"/>
  <c r="C100" i="9"/>
  <c r="B100" i="9"/>
  <c r="K99" i="9"/>
  <c r="J99" i="9"/>
  <c r="I99" i="9"/>
  <c r="F99" i="9"/>
  <c r="D99" i="9"/>
  <c r="C99" i="9"/>
  <c r="B99" i="9"/>
  <c r="F92" i="9"/>
  <c r="D92" i="9"/>
  <c r="C92" i="9"/>
  <c r="B92" i="9"/>
  <c r="K90" i="9"/>
  <c r="J90" i="9"/>
  <c r="I90" i="9"/>
  <c r="F88" i="9"/>
  <c r="D88" i="9"/>
  <c r="C88" i="9"/>
  <c r="B88" i="9"/>
  <c r="K87" i="9"/>
  <c r="J87" i="9"/>
  <c r="I87" i="9"/>
  <c r="F87" i="9"/>
  <c r="D87" i="9"/>
  <c r="C87" i="9"/>
  <c r="B87" i="9"/>
  <c r="F86" i="9"/>
  <c r="D86" i="9"/>
  <c r="C86" i="9"/>
  <c r="B86" i="9"/>
  <c r="K84" i="9"/>
  <c r="J84" i="9"/>
  <c r="I84" i="9"/>
  <c r="F83" i="9"/>
  <c r="D83" i="9"/>
  <c r="C83" i="9"/>
  <c r="B83" i="9"/>
  <c r="F82" i="9"/>
  <c r="D82" i="9"/>
  <c r="C82" i="9"/>
  <c r="B82" i="9"/>
  <c r="K81" i="9"/>
  <c r="J81" i="9"/>
  <c r="I81" i="9"/>
  <c r="F81" i="9"/>
  <c r="D81" i="9"/>
  <c r="C81" i="9"/>
  <c r="B81" i="9"/>
  <c r="F74" i="9"/>
  <c r="D74" i="9"/>
  <c r="C74" i="9"/>
  <c r="B74" i="9"/>
  <c r="K72" i="9"/>
  <c r="J72" i="9"/>
  <c r="I72" i="9"/>
  <c r="F70" i="9"/>
  <c r="D70" i="9"/>
  <c r="C70" i="9"/>
  <c r="B70" i="9"/>
  <c r="K69" i="9"/>
  <c r="J69" i="9"/>
  <c r="I69" i="9"/>
  <c r="F69" i="9"/>
  <c r="D69" i="9"/>
  <c r="C69" i="9"/>
  <c r="B69" i="9"/>
  <c r="F68" i="9"/>
  <c r="D68" i="9"/>
  <c r="C68" i="9"/>
  <c r="B68" i="9"/>
  <c r="K66" i="9"/>
  <c r="J66" i="9"/>
  <c r="I66" i="9"/>
  <c r="F65" i="9"/>
  <c r="D65" i="9"/>
  <c r="C65" i="9"/>
  <c r="B65" i="9"/>
  <c r="F64" i="9"/>
  <c r="D64" i="9"/>
  <c r="C64" i="9"/>
  <c r="B64" i="9"/>
  <c r="K63" i="9"/>
  <c r="J63" i="9"/>
  <c r="I63" i="9"/>
  <c r="F63" i="9"/>
  <c r="D63" i="9"/>
  <c r="C63" i="9"/>
  <c r="B63" i="9"/>
  <c r="F56" i="9"/>
  <c r="D56" i="9"/>
  <c r="C56" i="9"/>
  <c r="B56" i="9"/>
  <c r="K54" i="9"/>
  <c r="J54" i="9"/>
  <c r="I54" i="9"/>
  <c r="F52" i="9"/>
  <c r="D52" i="9"/>
  <c r="C52" i="9"/>
  <c r="B52" i="9"/>
  <c r="K51" i="9"/>
  <c r="J51" i="9"/>
  <c r="I51" i="9"/>
  <c r="F51" i="9"/>
  <c r="D51" i="9"/>
  <c r="C51" i="9"/>
  <c r="B51" i="9"/>
  <c r="F50" i="9"/>
  <c r="D50" i="9"/>
  <c r="C50" i="9"/>
  <c r="B50" i="9"/>
  <c r="K48" i="9"/>
  <c r="J48" i="9"/>
  <c r="I48" i="9"/>
  <c r="F47" i="9"/>
  <c r="D47" i="9"/>
  <c r="C47" i="9"/>
  <c r="B47" i="9"/>
  <c r="F46" i="9"/>
  <c r="D46" i="9"/>
  <c r="C46" i="9"/>
  <c r="B46" i="9"/>
  <c r="K45" i="9"/>
  <c r="J45" i="9"/>
  <c r="I45" i="9"/>
  <c r="F45" i="9"/>
  <c r="D45" i="9"/>
  <c r="C45" i="9"/>
  <c r="B45" i="9"/>
  <c r="K36" i="9"/>
  <c r="J36" i="9"/>
  <c r="I36" i="9"/>
  <c r="F38" i="9"/>
  <c r="D38" i="9"/>
  <c r="C38" i="9"/>
  <c r="B38" i="9"/>
  <c r="F34" i="9"/>
  <c r="D34" i="9"/>
  <c r="C34" i="9"/>
  <c r="B34" i="9"/>
  <c r="K33" i="9"/>
  <c r="J33" i="9"/>
  <c r="I33" i="9"/>
  <c r="F33" i="9"/>
  <c r="D33" i="9"/>
  <c r="C33" i="9"/>
  <c r="B33" i="9"/>
  <c r="F32" i="9"/>
  <c r="D32" i="9"/>
  <c r="C32" i="9"/>
  <c r="B32" i="9"/>
  <c r="K30" i="9"/>
  <c r="J30" i="9"/>
  <c r="I30" i="9"/>
  <c r="F29" i="9"/>
  <c r="D29" i="9"/>
  <c r="C29" i="9"/>
  <c r="B29" i="9"/>
  <c r="F28" i="9"/>
  <c r="D28" i="9"/>
  <c r="C28" i="9"/>
  <c r="B28" i="9"/>
  <c r="K27" i="9"/>
  <c r="J27" i="9"/>
  <c r="I27" i="9"/>
  <c r="F27" i="9"/>
  <c r="D27" i="9"/>
  <c r="C27" i="9"/>
  <c r="B27" i="9"/>
  <c r="K15" i="9"/>
  <c r="I15" i="9"/>
  <c r="J15" i="9"/>
  <c r="K12" i="9"/>
  <c r="J12" i="9"/>
  <c r="I12" i="9"/>
  <c r="K9" i="9"/>
  <c r="J9" i="9"/>
  <c r="I9" i="9"/>
  <c r="K6" i="9"/>
  <c r="J6" i="9"/>
  <c r="I6" i="9"/>
  <c r="D18" i="33"/>
  <c r="B18" i="33"/>
  <c r="F6" i="33"/>
  <c r="D29" i="33" s="1"/>
  <c r="F29" i="33" s="1"/>
  <c r="L28" i="6"/>
  <c r="L29" i="6"/>
  <c r="L30" i="6"/>
  <c r="L31" i="6"/>
  <c r="G28" i="6"/>
  <c r="G29" i="6"/>
  <c r="G30" i="6"/>
  <c r="G31" i="6"/>
  <c r="G32" i="6"/>
  <c r="E28" i="6"/>
  <c r="E29" i="6"/>
  <c r="E30" i="6"/>
  <c r="E31" i="6"/>
  <c r="E32" i="6"/>
  <c r="J28" i="6"/>
  <c r="J29" i="6"/>
  <c r="J30" i="6"/>
  <c r="J31" i="6"/>
  <c r="J32" i="6"/>
  <c r="O28" i="6"/>
  <c r="R28" i="6" s="1"/>
  <c r="O29" i="6"/>
  <c r="R29" i="6" s="1"/>
  <c r="O30" i="6"/>
  <c r="R30" i="6" s="1"/>
  <c r="O31" i="6"/>
  <c r="R25" i="6"/>
  <c r="R26" i="6"/>
  <c r="R31" i="6"/>
  <c r="K48" i="1"/>
  <c r="M48" i="1" s="1"/>
  <c r="K49" i="1"/>
  <c r="L49" i="1" s="1"/>
  <c r="K50" i="1"/>
  <c r="M50" i="1" s="1"/>
  <c r="K47" i="1"/>
  <c r="G48" i="1"/>
  <c r="I48" i="1" s="1"/>
  <c r="G49" i="1"/>
  <c r="H49" i="1" s="1"/>
  <c r="G50" i="1"/>
  <c r="I50" i="1" s="1"/>
  <c r="G47" i="1"/>
  <c r="H47" i="1" s="1"/>
  <c r="M47" i="1"/>
  <c r="M49" i="1"/>
  <c r="M51" i="1"/>
  <c r="E47" i="1"/>
  <c r="E48" i="1"/>
  <c r="E49" i="1"/>
  <c r="E50" i="1"/>
  <c r="L47" i="1"/>
  <c r="L51" i="1"/>
  <c r="D47" i="1"/>
  <c r="D48" i="1"/>
  <c r="D49" i="1"/>
  <c r="D50" i="1"/>
  <c r="D51" i="1"/>
  <c r="C48" i="1"/>
  <c r="C49" i="1"/>
  <c r="C50" i="1"/>
  <c r="C47" i="1"/>
  <c r="F18" i="33" l="1"/>
  <c r="D21" i="33" s="1"/>
  <c r="F21" i="33" s="1"/>
  <c r="I174" i="9"/>
  <c r="K174" i="9"/>
  <c r="K172" i="9"/>
  <c r="E142" i="1" s="1"/>
  <c r="K170" i="9"/>
  <c r="E140" i="1" s="1"/>
  <c r="J174" i="9"/>
  <c r="J172" i="9"/>
  <c r="D142" i="1" s="1"/>
  <c r="I172" i="9"/>
  <c r="C142" i="1" s="1"/>
  <c r="I170" i="9"/>
  <c r="C140" i="1" s="1"/>
  <c r="J170" i="9"/>
  <c r="D140" i="1" s="1"/>
  <c r="I168" i="9"/>
  <c r="C138" i="1" s="1"/>
  <c r="J168" i="9"/>
  <c r="D138" i="1" s="1"/>
  <c r="G142" i="9"/>
  <c r="K168" i="9"/>
  <c r="E138" i="1" s="1"/>
  <c r="G137" i="9"/>
  <c r="G164" i="9"/>
  <c r="G52" i="9"/>
  <c r="G70" i="9"/>
  <c r="G88" i="9"/>
  <c r="G106" i="9"/>
  <c r="G124" i="9"/>
  <c r="G74" i="9"/>
  <c r="G69" i="9"/>
  <c r="G87" i="9"/>
  <c r="G105" i="9"/>
  <c r="G159" i="9"/>
  <c r="G45" i="9"/>
  <c r="G117" i="9"/>
  <c r="G136" i="9"/>
  <c r="G153" i="9"/>
  <c r="G50" i="9"/>
  <c r="G86" i="9"/>
  <c r="G104" i="9"/>
  <c r="G122" i="9"/>
  <c r="G158" i="9"/>
  <c r="G47" i="9"/>
  <c r="G119" i="9"/>
  <c r="G146" i="9"/>
  <c r="G110" i="9"/>
  <c r="G141" i="9"/>
  <c r="G68" i="9"/>
  <c r="G82" i="9"/>
  <c r="G46" i="9"/>
  <c r="G56" i="9"/>
  <c r="G118" i="9"/>
  <c r="G128" i="9"/>
  <c r="G100" i="9"/>
  <c r="G99" i="9"/>
  <c r="G51" i="9"/>
  <c r="G83" i="9"/>
  <c r="G101" i="9"/>
  <c r="G123" i="9"/>
  <c r="G155" i="9"/>
  <c r="G140" i="9"/>
  <c r="G81" i="9"/>
  <c r="G64" i="9"/>
  <c r="G92" i="9"/>
  <c r="G154" i="9"/>
  <c r="G65" i="9"/>
  <c r="G63" i="9"/>
  <c r="G135" i="9"/>
  <c r="G160" i="9"/>
  <c r="G32" i="9"/>
  <c r="G33" i="9"/>
  <c r="G34" i="9"/>
  <c r="G28" i="9"/>
  <c r="G27" i="9"/>
  <c r="G38" i="9"/>
  <c r="G29" i="9"/>
  <c r="I49" i="1"/>
  <c r="L50" i="1"/>
  <c r="L48" i="1"/>
  <c r="H50" i="1"/>
  <c r="H48" i="1"/>
  <c r="I47" i="1"/>
  <c r="G129" i="9" l="1"/>
  <c r="G111" i="9"/>
  <c r="G165" i="9"/>
  <c r="G75" i="9"/>
  <c r="G93" i="9"/>
  <c r="G57" i="9"/>
  <c r="G147" i="9"/>
  <c r="G39" i="9"/>
  <c r="Y22" i="1"/>
  <c r="W22" i="1"/>
  <c r="AA10" i="1"/>
  <c r="Y33" i="1" s="1"/>
  <c r="C64" i="30"/>
  <c r="D64" i="30"/>
  <c r="F64" i="30"/>
  <c r="G64" i="30"/>
  <c r="H64" i="30"/>
  <c r="J64" i="30"/>
  <c r="K64" i="30"/>
  <c r="L64" i="30"/>
  <c r="C62" i="30"/>
  <c r="D62" i="30"/>
  <c r="F62" i="30"/>
  <c r="G62" i="30"/>
  <c r="H62" i="30"/>
  <c r="J62" i="30"/>
  <c r="K62" i="30"/>
  <c r="L62" i="30"/>
  <c r="B64" i="30"/>
  <c r="B62" i="30"/>
  <c r="AA22" i="1" l="1"/>
  <c r="Y25" i="1" s="1"/>
  <c r="AA25" i="1" s="1"/>
  <c r="AA33" i="1" s="1"/>
  <c r="J186" i="9" l="1"/>
  <c r="K186" i="9"/>
  <c r="J184" i="9"/>
  <c r="K184" i="9"/>
  <c r="J182" i="9"/>
  <c r="K182" i="9"/>
  <c r="J180" i="9"/>
  <c r="K180" i="9"/>
  <c r="I186" i="9"/>
  <c r="I184" i="9"/>
  <c r="I182" i="9"/>
  <c r="I180" i="9"/>
  <c r="F20" i="9"/>
  <c r="D20" i="9"/>
  <c r="C20" i="9"/>
  <c r="F19" i="9"/>
  <c r="D19" i="9"/>
  <c r="C19" i="9"/>
  <c r="F16" i="9"/>
  <c r="D16" i="9"/>
  <c r="C16" i="9"/>
  <c r="F13" i="9"/>
  <c r="D13" i="9"/>
  <c r="C13" i="9"/>
  <c r="F12" i="9"/>
  <c r="D12" i="9"/>
  <c r="C12" i="9"/>
  <c r="F11" i="9"/>
  <c r="D11" i="9"/>
  <c r="C11" i="9"/>
  <c r="F8" i="9"/>
  <c r="D8" i="9"/>
  <c r="C8" i="9"/>
  <c r="F7" i="9"/>
  <c r="D7" i="9"/>
  <c r="C7" i="9"/>
  <c r="F6" i="9"/>
  <c r="D6" i="9"/>
  <c r="C6" i="9"/>
  <c r="AA69" i="8"/>
  <c r="AA71" i="8"/>
  <c r="Y71" i="8"/>
  <c r="AB71" i="8" s="1"/>
  <c r="W71" i="8"/>
  <c r="AA70" i="8"/>
  <c r="Y70" i="8"/>
  <c r="AB70" i="8" s="1"/>
  <c r="W70" i="8"/>
  <c r="Y69" i="8"/>
  <c r="AB69" i="8" s="1"/>
  <c r="W69" i="8"/>
  <c r="AA68" i="8"/>
  <c r="Y68" i="8"/>
  <c r="AB68" i="8" s="1"/>
  <c r="W68" i="8"/>
  <c r="AA62" i="8"/>
  <c r="Y62" i="8"/>
  <c r="AB62" i="8" s="1"/>
  <c r="W62" i="8"/>
  <c r="AA50" i="8"/>
  <c r="Y50" i="8"/>
  <c r="AB50" i="8" s="1"/>
  <c r="W50" i="8"/>
  <c r="AA49" i="8"/>
  <c r="Y49" i="8"/>
  <c r="AB49" i="8" s="1"/>
  <c r="W49" i="8"/>
  <c r="AA48" i="8"/>
  <c r="Y48" i="8"/>
  <c r="AB48" i="8" s="1"/>
  <c r="W48" i="8"/>
  <c r="AA47" i="8"/>
  <c r="Y47" i="8"/>
  <c r="AB47" i="8" s="1"/>
  <c r="W47" i="8"/>
  <c r="AA46" i="8"/>
  <c r="Y46" i="8"/>
  <c r="AB46" i="8" s="1"/>
  <c r="W46" i="8"/>
  <c r="AA37" i="8"/>
  <c r="Y37" i="8"/>
  <c r="AB37" i="8" s="1"/>
  <c r="W37" i="8"/>
  <c r="AA36" i="8"/>
  <c r="Y36" i="8"/>
  <c r="AB36" i="8" s="1"/>
  <c r="W36" i="8"/>
  <c r="AA35" i="8"/>
  <c r="Y35" i="8"/>
  <c r="AB35" i="8" s="1"/>
  <c r="W35" i="8"/>
  <c r="AA34" i="8"/>
  <c r="Y34" i="8"/>
  <c r="AB34" i="8" s="1"/>
  <c r="W34" i="8"/>
  <c r="AA33" i="8"/>
  <c r="Y33" i="8"/>
  <c r="AB33" i="8" s="1"/>
  <c r="W33" i="8"/>
  <c r="AA29" i="8"/>
  <c r="Y29" i="8"/>
  <c r="AB29" i="8" s="1"/>
  <c r="W29" i="8"/>
  <c r="V29" i="8"/>
  <c r="AA28" i="8"/>
  <c r="Y28" i="8"/>
  <c r="AB28" i="8" s="1"/>
  <c r="W28" i="8"/>
  <c r="V28" i="8"/>
  <c r="AA27" i="8"/>
  <c r="Y27" i="8"/>
  <c r="AB27" i="8" s="1"/>
  <c r="W27" i="8"/>
  <c r="V27" i="8"/>
  <c r="AA26" i="8"/>
  <c r="Y26" i="8"/>
  <c r="AB26" i="8" s="1"/>
  <c r="W26" i="8"/>
  <c r="V26" i="8"/>
  <c r="AA25" i="8"/>
  <c r="Y25" i="8"/>
  <c r="AB25" i="8" s="1"/>
  <c r="W25" i="8"/>
  <c r="V25" i="8"/>
  <c r="AA17" i="8"/>
  <c r="Y17" i="8"/>
  <c r="AB17" i="8" s="1"/>
  <c r="W17" i="8"/>
  <c r="AA16" i="8"/>
  <c r="Y16" i="8"/>
  <c r="AB16" i="8" s="1"/>
  <c r="W16" i="8"/>
  <c r="AA15" i="8"/>
  <c r="Y15" i="8"/>
  <c r="AB15" i="8" s="1"/>
  <c r="W15" i="8"/>
  <c r="AA14" i="8"/>
  <c r="Y14" i="8"/>
  <c r="AB14" i="8" s="1"/>
  <c r="W14" i="8"/>
  <c r="AA13" i="8"/>
  <c r="Y13" i="8"/>
  <c r="AB13" i="8" s="1"/>
  <c r="W13" i="8"/>
  <c r="AA10" i="8"/>
  <c r="Y10" i="8"/>
  <c r="AB10" i="8" s="1"/>
  <c r="W10" i="8"/>
  <c r="V10" i="8"/>
  <c r="AA9" i="8"/>
  <c r="Y9" i="8"/>
  <c r="AB9" i="8" s="1"/>
  <c r="W9" i="8"/>
  <c r="V9" i="8"/>
  <c r="AA8" i="8"/>
  <c r="Y8" i="8"/>
  <c r="AB8" i="8" s="1"/>
  <c r="W8" i="8"/>
  <c r="V8" i="8"/>
  <c r="AA7" i="8"/>
  <c r="Y7" i="8"/>
  <c r="AB7" i="8" s="1"/>
  <c r="W7" i="8"/>
  <c r="V7" i="8"/>
  <c r="AA6" i="8"/>
  <c r="Y6" i="8"/>
  <c r="AB6" i="8" s="1"/>
  <c r="W6" i="8"/>
  <c r="V6" i="8"/>
  <c r="Q71" i="8"/>
  <c r="O71" i="8"/>
  <c r="R71" i="8" s="1"/>
  <c r="M71" i="8"/>
  <c r="Q70" i="8"/>
  <c r="O70" i="8"/>
  <c r="R70" i="8" s="1"/>
  <c r="M70" i="8"/>
  <c r="Q69" i="8"/>
  <c r="O69" i="8"/>
  <c r="R69" i="8" s="1"/>
  <c r="M69" i="8"/>
  <c r="Q68" i="8"/>
  <c r="O68" i="8"/>
  <c r="R68" i="8" s="1"/>
  <c r="M68" i="8"/>
  <c r="Q62" i="8"/>
  <c r="O62" i="8"/>
  <c r="R62" i="8" s="1"/>
  <c r="M62" i="8"/>
  <c r="Q50" i="8"/>
  <c r="O50" i="8"/>
  <c r="R50" i="8" s="1"/>
  <c r="M50" i="8"/>
  <c r="Q49" i="8"/>
  <c r="O49" i="8"/>
  <c r="R49" i="8" s="1"/>
  <c r="M49" i="8"/>
  <c r="Q48" i="8"/>
  <c r="O48" i="8"/>
  <c r="R48" i="8" s="1"/>
  <c r="M48" i="8"/>
  <c r="Q47" i="8"/>
  <c r="O47" i="8"/>
  <c r="R47" i="8" s="1"/>
  <c r="M47" i="8"/>
  <c r="Q46" i="8"/>
  <c r="O46" i="8"/>
  <c r="R46" i="8" s="1"/>
  <c r="M46" i="8"/>
  <c r="Q37" i="8"/>
  <c r="O37" i="8"/>
  <c r="R37" i="8" s="1"/>
  <c r="M37" i="8"/>
  <c r="Q36" i="8"/>
  <c r="O36" i="8"/>
  <c r="R36" i="8" s="1"/>
  <c r="M36" i="8"/>
  <c r="Q35" i="8"/>
  <c r="O35" i="8"/>
  <c r="R35" i="8" s="1"/>
  <c r="M35" i="8"/>
  <c r="Q34" i="8"/>
  <c r="O34" i="8"/>
  <c r="R34" i="8" s="1"/>
  <c r="M34" i="8"/>
  <c r="Q33" i="8"/>
  <c r="O33" i="8"/>
  <c r="R33" i="8" s="1"/>
  <c r="M33" i="8"/>
  <c r="Q29" i="8"/>
  <c r="O29" i="8"/>
  <c r="R29" i="8" s="1"/>
  <c r="M29" i="8"/>
  <c r="L29" i="8"/>
  <c r="Q28" i="8"/>
  <c r="O28" i="8"/>
  <c r="R28" i="8" s="1"/>
  <c r="M28" i="8"/>
  <c r="L28" i="8"/>
  <c r="Q27" i="8"/>
  <c r="O27" i="8"/>
  <c r="R27" i="8" s="1"/>
  <c r="M27" i="8"/>
  <c r="L27" i="8"/>
  <c r="Q26" i="8"/>
  <c r="O26" i="8"/>
  <c r="R26" i="8" s="1"/>
  <c r="M26" i="8"/>
  <c r="L26" i="8"/>
  <c r="Q25" i="8"/>
  <c r="O25" i="8"/>
  <c r="R25" i="8" s="1"/>
  <c r="M25" i="8"/>
  <c r="L25" i="8"/>
  <c r="Q17" i="8"/>
  <c r="O17" i="8"/>
  <c r="R17" i="8" s="1"/>
  <c r="M17" i="8"/>
  <c r="Q16" i="8"/>
  <c r="O16" i="8"/>
  <c r="R16" i="8" s="1"/>
  <c r="M16" i="8"/>
  <c r="Q15" i="8"/>
  <c r="O15" i="8"/>
  <c r="R15" i="8" s="1"/>
  <c r="M15" i="8"/>
  <c r="Q14" i="8"/>
  <c r="O14" i="8"/>
  <c r="R14" i="8" s="1"/>
  <c r="M14" i="8"/>
  <c r="Q13" i="8"/>
  <c r="O13" i="8"/>
  <c r="R13" i="8" s="1"/>
  <c r="M13" i="8"/>
  <c r="Q10" i="8"/>
  <c r="O10" i="8"/>
  <c r="R10" i="8" s="1"/>
  <c r="M10" i="8"/>
  <c r="L10" i="8"/>
  <c r="Q9" i="8"/>
  <c r="O9" i="8"/>
  <c r="R9" i="8" s="1"/>
  <c r="M9" i="8"/>
  <c r="L9" i="8"/>
  <c r="Q8" i="8"/>
  <c r="O8" i="8"/>
  <c r="R8" i="8" s="1"/>
  <c r="M8" i="8"/>
  <c r="L8" i="8"/>
  <c r="Q7" i="8"/>
  <c r="O7" i="8"/>
  <c r="R7" i="8" s="1"/>
  <c r="M7" i="8"/>
  <c r="L7" i="8"/>
  <c r="Q6" i="8"/>
  <c r="O6" i="8"/>
  <c r="R6" i="8" s="1"/>
  <c r="M6" i="8"/>
  <c r="L6" i="8"/>
  <c r="G71" i="8"/>
  <c r="E71" i="8"/>
  <c r="H71" i="8" s="1"/>
  <c r="C71" i="8"/>
  <c r="G70" i="8"/>
  <c r="E70" i="8"/>
  <c r="H70" i="8" s="1"/>
  <c r="C70" i="8"/>
  <c r="G69" i="8"/>
  <c r="E69" i="8"/>
  <c r="H69" i="8" s="1"/>
  <c r="C69" i="8"/>
  <c r="G68" i="8"/>
  <c r="E68" i="8"/>
  <c r="H68" i="8" s="1"/>
  <c r="C68" i="8"/>
  <c r="G62" i="8"/>
  <c r="E62" i="8"/>
  <c r="C62" i="8"/>
  <c r="G50" i="8"/>
  <c r="E50" i="8"/>
  <c r="H50" i="8" s="1"/>
  <c r="C50" i="8"/>
  <c r="G49" i="8"/>
  <c r="E49" i="8"/>
  <c r="H49" i="8" s="1"/>
  <c r="C49" i="8"/>
  <c r="G48" i="8"/>
  <c r="E48" i="8"/>
  <c r="H48" i="8" s="1"/>
  <c r="C48" i="8"/>
  <c r="G47" i="8"/>
  <c r="E47" i="8"/>
  <c r="H47" i="8" s="1"/>
  <c r="C47" i="8"/>
  <c r="G46" i="8"/>
  <c r="C46" i="8"/>
  <c r="E46" i="8"/>
  <c r="E33" i="8"/>
  <c r="H33" i="8" s="1"/>
  <c r="G37" i="8"/>
  <c r="E37" i="8"/>
  <c r="H37" i="8" s="1"/>
  <c r="C37" i="8"/>
  <c r="G36" i="8"/>
  <c r="E36" i="8"/>
  <c r="H36" i="8" s="1"/>
  <c r="C36" i="8"/>
  <c r="G35" i="8"/>
  <c r="E35" i="8"/>
  <c r="H35" i="8" s="1"/>
  <c r="C35" i="8"/>
  <c r="G34" i="8"/>
  <c r="E34" i="8"/>
  <c r="H34" i="8" s="1"/>
  <c r="C34" i="8"/>
  <c r="G33" i="8"/>
  <c r="C33" i="8"/>
  <c r="G17" i="8"/>
  <c r="E17" i="8"/>
  <c r="H17" i="8" s="1"/>
  <c r="C17" i="8"/>
  <c r="G16" i="8"/>
  <c r="E16" i="8"/>
  <c r="H16" i="8" s="1"/>
  <c r="C16" i="8"/>
  <c r="G15" i="8"/>
  <c r="E15" i="8"/>
  <c r="H15" i="8" s="1"/>
  <c r="C15" i="8"/>
  <c r="G14" i="8"/>
  <c r="E14" i="8"/>
  <c r="H14" i="8" s="1"/>
  <c r="C14" i="8"/>
  <c r="G13" i="8"/>
  <c r="E13" i="8"/>
  <c r="H13" i="8" s="1"/>
  <c r="C13" i="8"/>
  <c r="G29" i="8"/>
  <c r="E29" i="8"/>
  <c r="H29" i="8" s="1"/>
  <c r="C29" i="8"/>
  <c r="B29" i="8"/>
  <c r="G28" i="8"/>
  <c r="E28" i="8"/>
  <c r="H28" i="8" s="1"/>
  <c r="C28" i="8"/>
  <c r="B28" i="8"/>
  <c r="G27" i="8"/>
  <c r="E27" i="8"/>
  <c r="H27" i="8" s="1"/>
  <c r="C27" i="8"/>
  <c r="B27" i="8"/>
  <c r="G26" i="8"/>
  <c r="E26" i="8"/>
  <c r="H26" i="8" s="1"/>
  <c r="C26" i="8"/>
  <c r="B26" i="8"/>
  <c r="G25" i="8"/>
  <c r="E25" i="8"/>
  <c r="H25" i="8" s="1"/>
  <c r="C25" i="8"/>
  <c r="B25" i="8"/>
  <c r="G10" i="8"/>
  <c r="E10" i="8"/>
  <c r="H10" i="8" s="1"/>
  <c r="C10" i="8"/>
  <c r="B10" i="8"/>
  <c r="G9" i="8"/>
  <c r="E9" i="8"/>
  <c r="H9" i="8" s="1"/>
  <c r="C9" i="8"/>
  <c r="B9" i="8"/>
  <c r="G8" i="8"/>
  <c r="E8" i="8"/>
  <c r="H8" i="8" s="1"/>
  <c r="C8" i="8"/>
  <c r="B8" i="8"/>
  <c r="G7" i="8"/>
  <c r="E7" i="8"/>
  <c r="H7" i="8" s="1"/>
  <c r="C7" i="8"/>
  <c r="B7" i="8"/>
  <c r="G6" i="8"/>
  <c r="E6" i="8"/>
  <c r="C6" i="8"/>
  <c r="AB74" i="8" l="1"/>
  <c r="R74" i="8"/>
  <c r="AB58" i="8"/>
  <c r="R58" i="8"/>
  <c r="G12" i="9"/>
  <c r="G7" i="9"/>
  <c r="G11" i="9"/>
  <c r="G8" i="9"/>
  <c r="G16" i="9"/>
  <c r="G20" i="9"/>
  <c r="G13" i="9"/>
  <c r="G6" i="9"/>
  <c r="G19" i="9"/>
  <c r="AB40" i="8"/>
  <c r="AB19" i="8"/>
  <c r="R19" i="8"/>
  <c r="R40" i="8"/>
  <c r="AB77" i="8" l="1"/>
  <c r="R77" i="8"/>
  <c r="B6" i="8" l="1"/>
  <c r="K41" i="19"/>
  <c r="L41" i="19"/>
  <c r="L43" i="19" s="1"/>
  <c r="K42" i="19"/>
  <c r="L42" i="19"/>
  <c r="L44" i="19"/>
  <c r="L45" i="19"/>
  <c r="G53" i="19"/>
  <c r="G49" i="19"/>
  <c r="E53" i="19"/>
  <c r="E49" i="19"/>
  <c r="C53" i="19"/>
  <c r="C49" i="19"/>
  <c r="D19" i="19"/>
  <c r="F39" i="19" s="1"/>
  <c r="C19" i="19"/>
  <c r="E39" i="19" s="1"/>
  <c r="B19" i="19"/>
  <c r="C25" i="19" s="1"/>
  <c r="U1" i="8"/>
  <c r="K1" i="8"/>
  <c r="A1" i="8"/>
  <c r="D21" i="20"/>
  <c r="D42" i="20" s="1"/>
  <c r="C21" i="20"/>
  <c r="C42" i="20" s="1"/>
  <c r="B21" i="20"/>
  <c r="B33" i="20" s="1"/>
  <c r="B6" i="23"/>
  <c r="I11" i="23" s="1"/>
  <c r="B5" i="23"/>
  <c r="I10" i="23" s="1"/>
  <c r="B4" i="23"/>
  <c r="I9" i="23" s="1"/>
  <c r="P8" i="2"/>
  <c r="V8" i="2" s="1"/>
  <c r="O8" i="2"/>
  <c r="U8" i="2" s="1"/>
  <c r="N8" i="2"/>
  <c r="T8" i="2" s="1"/>
  <c r="Y1" i="9"/>
  <c r="M1" i="9"/>
  <c r="A1" i="9"/>
  <c r="J2" i="30"/>
  <c r="F2" i="30"/>
  <c r="B2" i="30"/>
  <c r="N4" i="6"/>
  <c r="N34" i="6" s="1"/>
  <c r="I4" i="6"/>
  <c r="I34" i="6" s="1"/>
  <c r="D4" i="6"/>
  <c r="D34" i="6" s="1"/>
  <c r="O6" i="6"/>
  <c r="R6" i="6" s="1"/>
  <c r="K20" i="1" s="1"/>
  <c r="J6" i="6"/>
  <c r="L6" i="6" s="1"/>
  <c r="G20" i="1" s="1"/>
  <c r="E6" i="6"/>
  <c r="G6" i="6" s="1"/>
  <c r="C20" i="1" s="1"/>
  <c r="L115" i="1"/>
  <c r="L111" i="1"/>
  <c r="L107" i="1"/>
  <c r="H115" i="1"/>
  <c r="H111" i="1"/>
  <c r="H107" i="1"/>
  <c r="D107" i="1"/>
  <c r="D111" i="1"/>
  <c r="D115" i="1"/>
  <c r="D39" i="20" l="1"/>
  <c r="R8" i="2"/>
  <c r="D24" i="20"/>
  <c r="C24" i="20"/>
  <c r="B39" i="20"/>
  <c r="F47" i="19"/>
  <c r="G25" i="19"/>
  <c r="F25" i="19"/>
  <c r="H34" i="19"/>
  <c r="D11" i="19"/>
  <c r="B39" i="19"/>
  <c r="G11" i="19"/>
  <c r="Q8" i="2"/>
  <c r="D47" i="19"/>
  <c r="D33" i="20"/>
  <c r="E25" i="19"/>
  <c r="F34" i="19"/>
  <c r="G39" i="19"/>
  <c r="C11" i="19"/>
  <c r="B24" i="20"/>
  <c r="C33" i="20"/>
  <c r="D25" i="19"/>
  <c r="G34" i="19"/>
  <c r="B47" i="19"/>
  <c r="F11" i="19"/>
  <c r="S8" i="2"/>
  <c r="B30" i="20"/>
  <c r="C39" i="20"/>
  <c r="H25" i="19"/>
  <c r="C39" i="19"/>
  <c r="E11" i="19"/>
  <c r="D30" i="20"/>
  <c r="B42" i="20"/>
  <c r="C34" i="19"/>
  <c r="D39" i="19"/>
  <c r="H11" i="19"/>
  <c r="C30" i="20"/>
  <c r="D34" i="19"/>
  <c r="E34" i="19"/>
  <c r="D27" i="31"/>
  <c r="E27" i="31" s="1"/>
  <c r="D38" i="31"/>
  <c r="F38" i="31" s="1"/>
  <c r="V50" i="3" s="1"/>
  <c r="C48" i="3" s="1"/>
  <c r="J81" i="30"/>
  <c r="J82" i="30" s="1"/>
  <c r="B83" i="30"/>
  <c r="B84" i="30" s="1"/>
  <c r="D81" i="30"/>
  <c r="D82" i="30" s="1"/>
  <c r="C81" i="30"/>
  <c r="C82" i="30" s="1"/>
  <c r="D30" i="31"/>
  <c r="H81" i="30" s="1"/>
  <c r="H82" i="30" s="1"/>
  <c r="G33" i="31"/>
  <c r="F33" i="31"/>
  <c r="E33" i="31"/>
  <c r="D33" i="31"/>
  <c r="J83" i="30" s="1"/>
  <c r="J84" i="30" s="1"/>
  <c r="D41" i="31"/>
  <c r="H41" i="31" s="1"/>
  <c r="X55" i="3" s="1"/>
  <c r="E49" i="3" s="1"/>
  <c r="K56" i="30"/>
  <c r="D56" i="30"/>
  <c r="D57" i="30" s="1"/>
  <c r="C56" i="30"/>
  <c r="C57" i="30" s="1"/>
  <c r="K59" i="30"/>
  <c r="K60" i="30" s="1"/>
  <c r="L126" i="1" s="1"/>
  <c r="L59" i="30"/>
  <c r="K57" i="30"/>
  <c r="G59" i="30"/>
  <c r="H59" i="30"/>
  <c r="C59" i="30"/>
  <c r="D59" i="30"/>
  <c r="D135" i="1"/>
  <c r="E135" i="1"/>
  <c r="G135" i="1"/>
  <c r="H135" i="1"/>
  <c r="I135" i="1"/>
  <c r="K135" i="1"/>
  <c r="L135" i="1"/>
  <c r="M135" i="1"/>
  <c r="G6" i="30"/>
  <c r="H25" i="30" s="1"/>
  <c r="K6" i="30"/>
  <c r="J27" i="30" s="1"/>
  <c r="C6" i="30"/>
  <c r="C135" i="1"/>
  <c r="L128" i="1"/>
  <c r="M128" i="1"/>
  <c r="K128" i="1"/>
  <c r="H128" i="1"/>
  <c r="I128" i="1"/>
  <c r="G60" i="30"/>
  <c r="H126" i="1" s="1"/>
  <c r="H60" i="30"/>
  <c r="I126" i="1" s="1"/>
  <c r="G128" i="1"/>
  <c r="D128" i="1"/>
  <c r="E128" i="1"/>
  <c r="C60" i="30"/>
  <c r="D126" i="1"/>
  <c r="D60" i="30"/>
  <c r="E126" i="1"/>
  <c r="C128" i="1"/>
  <c r="L49" i="30"/>
  <c r="J56" i="30" s="1"/>
  <c r="J57" i="30" s="1"/>
  <c r="H49" i="30"/>
  <c r="D49" i="30"/>
  <c r="B56" i="30" s="1"/>
  <c r="B57" i="30" s="1"/>
  <c r="R14" i="30"/>
  <c r="C71" i="30"/>
  <c r="C72" i="30" s="1"/>
  <c r="D71" i="30"/>
  <c r="D72" i="30" s="1"/>
  <c r="G71" i="30"/>
  <c r="G72" i="30" s="1"/>
  <c r="H71" i="30"/>
  <c r="H72" i="30" s="1"/>
  <c r="K71" i="30"/>
  <c r="K72" i="30" s="1"/>
  <c r="L71" i="30"/>
  <c r="L72" i="30" s="1"/>
  <c r="O9" i="6"/>
  <c r="R9" i="6" s="1"/>
  <c r="K28" i="1" s="1"/>
  <c r="J9" i="6"/>
  <c r="L9" i="6" s="1"/>
  <c r="G28" i="1" s="1"/>
  <c r="C10" i="24" s="1"/>
  <c r="E9" i="6"/>
  <c r="G9" i="6" s="1"/>
  <c r="C28" i="1" s="1"/>
  <c r="B45" i="3"/>
  <c r="B44" i="3"/>
  <c r="B42" i="3"/>
  <c r="E42" i="3"/>
  <c r="C16" i="3"/>
  <c r="B16" i="3"/>
  <c r="D2" i="24"/>
  <c r="N8" i="1"/>
  <c r="N16" i="1" s="1"/>
  <c r="O16" i="1" s="1"/>
  <c r="P8" i="1"/>
  <c r="P16" i="1" s="1"/>
  <c r="Q16" i="1" s="1"/>
  <c r="R8" i="1"/>
  <c r="R16" i="1" s="1"/>
  <c r="S16" i="1" s="1"/>
  <c r="N20" i="1"/>
  <c r="O20" i="1" s="1"/>
  <c r="P20" i="1"/>
  <c r="Q20" i="1" s="1"/>
  <c r="R20" i="1"/>
  <c r="S20" i="1" s="1"/>
  <c r="O21" i="1"/>
  <c r="Q21" i="1"/>
  <c r="S21" i="1"/>
  <c r="N28" i="1"/>
  <c r="O28" i="1" s="1"/>
  <c r="P28" i="1"/>
  <c r="Q28" i="1" s="1"/>
  <c r="R28" i="1"/>
  <c r="S28" i="1" s="1"/>
  <c r="N29" i="1"/>
  <c r="O29" i="1" s="1"/>
  <c r="P29" i="1"/>
  <c r="Q29" i="1" s="1"/>
  <c r="R29" i="1"/>
  <c r="S29" i="1" s="1"/>
  <c r="O30" i="1"/>
  <c r="Q30" i="1"/>
  <c r="S30" i="1"/>
  <c r="N32" i="1"/>
  <c r="O32" i="1" s="1"/>
  <c r="P32" i="1"/>
  <c r="Q32" i="1" s="1"/>
  <c r="R32" i="1"/>
  <c r="S32" i="1" s="1"/>
  <c r="N33" i="1"/>
  <c r="O33" i="1" s="1"/>
  <c r="P33" i="1"/>
  <c r="Q33" i="1" s="1"/>
  <c r="R33" i="1"/>
  <c r="S33" i="1" s="1"/>
  <c r="N34" i="1"/>
  <c r="O34" i="1" s="1"/>
  <c r="P34" i="1"/>
  <c r="Q34" i="1" s="1"/>
  <c r="R34" i="1"/>
  <c r="S34" i="1" s="1"/>
  <c r="N36" i="1"/>
  <c r="O36" i="1" s="1"/>
  <c r="P36" i="1"/>
  <c r="Q36" i="1" s="1"/>
  <c r="R36" i="1"/>
  <c r="S36" i="1" s="1"/>
  <c r="N37" i="1"/>
  <c r="O37" i="1" s="1"/>
  <c r="P37" i="1"/>
  <c r="Q37" i="1" s="1"/>
  <c r="R37" i="1"/>
  <c r="S37" i="1" s="1"/>
  <c r="N38" i="1"/>
  <c r="O38" i="1" s="1"/>
  <c r="P38" i="1"/>
  <c r="Q38" i="1" s="1"/>
  <c r="R38" i="1"/>
  <c r="S38" i="1" s="1"/>
  <c r="N39" i="1"/>
  <c r="O39" i="1" s="1"/>
  <c r="P39" i="1"/>
  <c r="Q39" i="1" s="1"/>
  <c r="R39" i="1"/>
  <c r="S39" i="1" s="1"/>
  <c r="N40" i="1"/>
  <c r="O40" i="1" s="1"/>
  <c r="P40" i="1"/>
  <c r="Q40" i="1" s="1"/>
  <c r="R40" i="1"/>
  <c r="S40" i="1" s="1"/>
  <c r="N41" i="1"/>
  <c r="O41" i="1" s="1"/>
  <c r="P41" i="1"/>
  <c r="Q41" i="1" s="1"/>
  <c r="R41" i="1"/>
  <c r="S41" i="1" s="1"/>
  <c r="N42" i="1"/>
  <c r="O42" i="1" s="1"/>
  <c r="P42" i="1"/>
  <c r="Q42" i="1" s="1"/>
  <c r="R42" i="1"/>
  <c r="S42" i="1" s="1"/>
  <c r="N44" i="1"/>
  <c r="O44" i="1" s="1"/>
  <c r="P44" i="1"/>
  <c r="Q44" i="1" s="1"/>
  <c r="R44" i="1"/>
  <c r="S44" i="1" s="1"/>
  <c r="N56" i="1"/>
  <c r="O56" i="1" s="1"/>
  <c r="P56" i="1"/>
  <c r="Q56" i="1" s="1"/>
  <c r="R56" i="1"/>
  <c r="S56" i="1" s="1"/>
  <c r="N57" i="1"/>
  <c r="O57" i="1" s="1"/>
  <c r="P57" i="1"/>
  <c r="Q57" i="1" s="1"/>
  <c r="R57" i="1"/>
  <c r="S57" i="1" s="1"/>
  <c r="I62" i="3"/>
  <c r="B20" i="9"/>
  <c r="B19" i="9"/>
  <c r="B16" i="9"/>
  <c r="B12" i="9"/>
  <c r="B13" i="9"/>
  <c r="B11" i="9"/>
  <c r="B7" i="9"/>
  <c r="B8" i="9"/>
  <c r="B6" i="9"/>
  <c r="O20" i="6"/>
  <c r="R20" i="6" s="1"/>
  <c r="K39" i="1" s="1"/>
  <c r="O21" i="6"/>
  <c r="R21" i="6" s="1"/>
  <c r="K40" i="1" s="1"/>
  <c r="J20" i="6"/>
  <c r="L20" i="6" s="1"/>
  <c r="G39" i="1" s="1"/>
  <c r="H39" i="1" s="1"/>
  <c r="J21" i="6"/>
  <c r="L21" i="6" s="1"/>
  <c r="G40" i="1" s="1"/>
  <c r="I40" i="1" s="1"/>
  <c r="E20" i="6"/>
  <c r="G20" i="6" s="1"/>
  <c r="C39" i="1" s="1"/>
  <c r="B21" i="24" s="1"/>
  <c r="E21" i="6"/>
  <c r="G21" i="6" s="1"/>
  <c r="C40" i="1" s="1"/>
  <c r="E40" i="1" s="1"/>
  <c r="C10" i="23"/>
  <c r="J11" i="23"/>
  <c r="J10" i="23"/>
  <c r="J9" i="23"/>
  <c r="K24" i="1"/>
  <c r="G25" i="1"/>
  <c r="G24" i="1"/>
  <c r="H62" i="8"/>
  <c r="H74" i="8" s="1"/>
  <c r="H46" i="8"/>
  <c r="H58" i="8" s="1"/>
  <c r="H6" i="8"/>
  <c r="G8" i="19"/>
  <c r="G6" i="19"/>
  <c r="H7" i="2"/>
  <c r="H8" i="2"/>
  <c r="O10" i="2"/>
  <c r="O7" i="6"/>
  <c r="R7" i="6" s="1"/>
  <c r="K26" i="1" s="1"/>
  <c r="M26" i="1" s="1"/>
  <c r="O8" i="6"/>
  <c r="R8" i="6" s="1"/>
  <c r="K27" i="1" s="1"/>
  <c r="O11" i="6"/>
  <c r="R11" i="6" s="1"/>
  <c r="K30" i="1" s="1"/>
  <c r="D12" i="24" s="1"/>
  <c r="O12" i="6"/>
  <c r="R12" i="6" s="1"/>
  <c r="K31" i="1" s="1"/>
  <c r="O14" i="6"/>
  <c r="R14" i="6" s="1"/>
  <c r="K33" i="1" s="1"/>
  <c r="O15" i="6"/>
  <c r="R15" i="6" s="1"/>
  <c r="K34" i="1" s="1"/>
  <c r="O17" i="6"/>
  <c r="R17" i="6" s="1"/>
  <c r="K36" i="1" s="1"/>
  <c r="M36" i="1" s="1"/>
  <c r="O18" i="6"/>
  <c r="R18" i="6" s="1"/>
  <c r="K37" i="1" s="1"/>
  <c r="O19" i="6"/>
  <c r="R19" i="6" s="1"/>
  <c r="K38" i="1" s="1"/>
  <c r="O22" i="6"/>
  <c r="R22" i="6" s="1"/>
  <c r="K41" i="1" s="1"/>
  <c r="O24" i="6"/>
  <c r="R24" i="6" s="1"/>
  <c r="K43" i="1" s="1"/>
  <c r="O25" i="6"/>
  <c r="K44" i="1" s="1"/>
  <c r="D26" i="24" s="1"/>
  <c r="O26" i="6"/>
  <c r="K45" i="1" s="1"/>
  <c r="D28" i="24"/>
  <c r="O32" i="6"/>
  <c r="R32" i="6" s="1"/>
  <c r="K52" i="1" s="1"/>
  <c r="D30" i="24" s="1"/>
  <c r="K25" i="1"/>
  <c r="L25" i="1" s="1"/>
  <c r="L12" i="19"/>
  <c r="O36" i="6"/>
  <c r="R36" i="6" s="1"/>
  <c r="K57" i="1" s="1"/>
  <c r="D31" i="24" s="1"/>
  <c r="O37" i="6"/>
  <c r="R37" i="6" s="1"/>
  <c r="K58" i="1" s="1"/>
  <c r="O38" i="6"/>
  <c r="R38" i="6" s="1"/>
  <c r="K59" i="1" s="1"/>
  <c r="O39" i="6"/>
  <c r="R39" i="6" s="1"/>
  <c r="K61" i="1" s="1"/>
  <c r="M61" i="1" s="1"/>
  <c r="J7" i="6"/>
  <c r="L7" i="6" s="1"/>
  <c r="G26" i="1" s="1"/>
  <c r="J8" i="6"/>
  <c r="L8" i="6" s="1"/>
  <c r="G27" i="1" s="1"/>
  <c r="J11" i="6"/>
  <c r="L11" i="6" s="1"/>
  <c r="G30" i="1" s="1"/>
  <c r="J12" i="6"/>
  <c r="L12" i="6" s="1"/>
  <c r="G31" i="1" s="1"/>
  <c r="C13" i="24" s="1"/>
  <c r="J14" i="6"/>
  <c r="L14" i="6" s="1"/>
  <c r="G33" i="1" s="1"/>
  <c r="J15" i="6"/>
  <c r="L15" i="6" s="1"/>
  <c r="G34" i="1" s="1"/>
  <c r="H34" i="1" s="1"/>
  <c r="J17" i="6"/>
  <c r="L17" i="6" s="1"/>
  <c r="G36" i="1" s="1"/>
  <c r="J18" i="6"/>
  <c r="L18" i="6" s="1"/>
  <c r="G37" i="1" s="1"/>
  <c r="J19" i="6"/>
  <c r="L19" i="6" s="1"/>
  <c r="G38" i="1" s="1"/>
  <c r="J22" i="6"/>
  <c r="L22" i="6" s="1"/>
  <c r="G41" i="1" s="1"/>
  <c r="J24" i="6"/>
  <c r="L24" i="6" s="1"/>
  <c r="G43" i="1" s="1"/>
  <c r="I43" i="1" s="1"/>
  <c r="J25" i="6"/>
  <c r="L25" i="6" s="1"/>
  <c r="G44" i="1" s="1"/>
  <c r="J26" i="6"/>
  <c r="L26" i="6" s="1"/>
  <c r="G45" i="1" s="1"/>
  <c r="C27" i="24" s="1"/>
  <c r="C28" i="24"/>
  <c r="L32" i="6"/>
  <c r="G52" i="1" s="1"/>
  <c r="J36" i="6"/>
  <c r="L36" i="6" s="1"/>
  <c r="G57" i="1" s="1"/>
  <c r="J37" i="6"/>
  <c r="L37" i="6" s="1"/>
  <c r="G58" i="1" s="1"/>
  <c r="I58" i="1" s="1"/>
  <c r="J38" i="6"/>
  <c r="L38" i="6" s="1"/>
  <c r="G59" i="1" s="1"/>
  <c r="I59" i="1" s="1"/>
  <c r="J39" i="6"/>
  <c r="L39" i="6" s="1"/>
  <c r="G61" i="1" s="1"/>
  <c r="B2" i="24"/>
  <c r="E7" i="6"/>
  <c r="G7" i="6" s="1"/>
  <c r="C26" i="1" s="1"/>
  <c r="E8" i="6"/>
  <c r="G8" i="6" s="1"/>
  <c r="C27" i="1" s="1"/>
  <c r="E12" i="6"/>
  <c r="G12" i="6" s="1"/>
  <c r="C31" i="1" s="1"/>
  <c r="E11" i="6"/>
  <c r="G11" i="6" s="1"/>
  <c r="C30" i="1" s="1"/>
  <c r="E14" i="6"/>
  <c r="G14" i="6" s="1"/>
  <c r="C33" i="1" s="1"/>
  <c r="D33" i="1" s="1"/>
  <c r="E17" i="6"/>
  <c r="G17" i="6" s="1"/>
  <c r="C36" i="1" s="1"/>
  <c r="E22" i="6"/>
  <c r="G22" i="6" s="1"/>
  <c r="C41" i="1" s="1"/>
  <c r="E15" i="6"/>
  <c r="G15" i="6" s="1"/>
  <c r="C34" i="1" s="1"/>
  <c r="E18" i="6"/>
  <c r="G18" i="6" s="1"/>
  <c r="C37" i="1" s="1"/>
  <c r="E19" i="6"/>
  <c r="G19" i="6" s="1"/>
  <c r="C38" i="1" s="1"/>
  <c r="E38" i="1" s="1"/>
  <c r="E24" i="6"/>
  <c r="G24" i="6" s="1"/>
  <c r="C43" i="1" s="1"/>
  <c r="E25" i="6"/>
  <c r="G25" i="6" s="1"/>
  <c r="C44" i="1" s="1"/>
  <c r="B26" i="24" s="1"/>
  <c r="E26" i="6"/>
  <c r="G26" i="6" s="1"/>
  <c r="C45" i="1" s="1"/>
  <c r="D45" i="1" s="1"/>
  <c r="C52" i="1"/>
  <c r="B30" i="24" s="1"/>
  <c r="E38" i="6"/>
  <c r="G38" i="6" s="1"/>
  <c r="C59" i="1" s="1"/>
  <c r="E36" i="6"/>
  <c r="G36" i="6" s="1"/>
  <c r="C57" i="1" s="1"/>
  <c r="E39" i="6"/>
  <c r="G39" i="6" s="1"/>
  <c r="C61" i="1" s="1"/>
  <c r="E37" i="6"/>
  <c r="G37" i="6" s="1"/>
  <c r="C58" i="1" s="1"/>
  <c r="C13" i="23"/>
  <c r="N11" i="2"/>
  <c r="O11" i="2"/>
  <c r="P11" i="2"/>
  <c r="H18" i="2"/>
  <c r="H19" i="2"/>
  <c r="H20" i="2"/>
  <c r="H21" i="2"/>
  <c r="H22" i="2"/>
  <c r="H23" i="2"/>
  <c r="H24" i="2"/>
  <c r="H25" i="2"/>
  <c r="H26" i="2"/>
  <c r="H27" i="2"/>
  <c r="H28" i="2"/>
  <c r="N12" i="2"/>
  <c r="O12" i="2"/>
  <c r="P12" i="2"/>
  <c r="H34" i="2"/>
  <c r="H42" i="2" s="1"/>
  <c r="M12" i="2" s="1"/>
  <c r="H35" i="2"/>
  <c r="H36" i="2"/>
  <c r="H37" i="2"/>
  <c r="H38" i="2"/>
  <c r="H39" i="2"/>
  <c r="H40" i="2"/>
  <c r="H41" i="2"/>
  <c r="N10" i="2"/>
  <c r="P10" i="2"/>
  <c r="H9" i="2"/>
  <c r="H10" i="2"/>
  <c r="H11" i="2"/>
  <c r="H12" i="2"/>
  <c r="K14" i="19"/>
  <c r="L14" i="19"/>
  <c r="M14" i="19"/>
  <c r="G19" i="2"/>
  <c r="G18" i="2"/>
  <c r="G20" i="2"/>
  <c r="G21" i="2"/>
  <c r="G22" i="2"/>
  <c r="G23" i="2"/>
  <c r="G24" i="2"/>
  <c r="G25" i="2"/>
  <c r="G26" i="2"/>
  <c r="G27" i="2"/>
  <c r="G28" i="2"/>
  <c r="N14" i="2"/>
  <c r="O14" i="2"/>
  <c r="P14" i="2"/>
  <c r="G34" i="2"/>
  <c r="G42" i="2" s="1"/>
  <c r="G35" i="2"/>
  <c r="G36" i="2"/>
  <c r="G37" i="2"/>
  <c r="G38" i="2"/>
  <c r="G39" i="2"/>
  <c r="G40" i="2"/>
  <c r="G41" i="2"/>
  <c r="N15" i="2"/>
  <c r="O15" i="2"/>
  <c r="P15" i="2"/>
  <c r="K13" i="19"/>
  <c r="L13" i="19"/>
  <c r="M13" i="19"/>
  <c r="K12" i="19"/>
  <c r="M12" i="19"/>
  <c r="J3" i="2"/>
  <c r="I28" i="2" s="1"/>
  <c r="G7" i="2"/>
  <c r="C6" i="23"/>
  <c r="C5" i="23"/>
  <c r="C4" i="23"/>
  <c r="I2" i="20"/>
  <c r="B43" i="20" s="1"/>
  <c r="J2" i="20"/>
  <c r="C7" i="20" s="1"/>
  <c r="K2" i="20"/>
  <c r="D7" i="20" s="1"/>
  <c r="C12" i="23"/>
  <c r="C11" i="23"/>
  <c r="H22" i="19"/>
  <c r="G32" i="19"/>
  <c r="G7" i="19"/>
  <c r="F4" i="20"/>
  <c r="D22" i="1"/>
  <c r="D29" i="1"/>
  <c r="D32" i="1"/>
  <c r="D35" i="1"/>
  <c r="D42" i="1"/>
  <c r="L22" i="1"/>
  <c r="L29" i="1"/>
  <c r="L32" i="1"/>
  <c r="L35" i="1"/>
  <c r="L42" i="1"/>
  <c r="H22" i="1"/>
  <c r="H29" i="1"/>
  <c r="H32" i="1"/>
  <c r="H35" i="1"/>
  <c r="H42" i="1"/>
  <c r="G8" i="2"/>
  <c r="G9" i="2"/>
  <c r="G10" i="2"/>
  <c r="G11" i="2"/>
  <c r="G12" i="2"/>
  <c r="B46" i="3"/>
  <c r="D19" i="17"/>
  <c r="C22" i="17" s="1"/>
  <c r="D22" i="17" s="1"/>
  <c r="D12" i="17"/>
  <c r="C15" i="17" s="1"/>
  <c r="D15" i="17" s="1"/>
  <c r="D5" i="17"/>
  <c r="C8" i="17" s="1"/>
  <c r="D8" i="17" s="1"/>
  <c r="G9" i="19"/>
  <c r="G13" i="2"/>
  <c r="G29" i="2"/>
  <c r="H29" i="2"/>
  <c r="M11" i="2"/>
  <c r="H13" i="2"/>
  <c r="M10" i="2"/>
  <c r="M14" i="2"/>
  <c r="M15" i="2" l="1"/>
  <c r="R15" i="2" s="1"/>
  <c r="U15" i="2" s="1"/>
  <c r="C43" i="20"/>
  <c r="G13" i="19"/>
  <c r="D13" i="19" s="1"/>
  <c r="G68" i="1" s="1"/>
  <c r="I68" i="1" s="1"/>
  <c r="D22" i="20"/>
  <c r="D25" i="20" s="1"/>
  <c r="F13" i="19"/>
  <c r="C13" i="19" s="1"/>
  <c r="C68" i="1" s="1"/>
  <c r="E68" i="1" s="1"/>
  <c r="D18" i="24"/>
  <c r="H40" i="1"/>
  <c r="E39" i="1"/>
  <c r="D39" i="1"/>
  <c r="F27" i="30"/>
  <c r="F89" i="30" s="1"/>
  <c r="F90" i="30" s="1"/>
  <c r="L56" i="30"/>
  <c r="L57" i="30" s="1"/>
  <c r="H33" i="31"/>
  <c r="K81" i="30"/>
  <c r="K82" i="30" s="1"/>
  <c r="B59" i="30"/>
  <c r="B60" i="30" s="1"/>
  <c r="C126" i="1" s="1"/>
  <c r="H27" i="31"/>
  <c r="L81" i="30"/>
  <c r="L82" i="30" s="1"/>
  <c r="L124" i="1"/>
  <c r="J59" i="30"/>
  <c r="G27" i="31"/>
  <c r="C124" i="1"/>
  <c r="D124" i="1"/>
  <c r="E124" i="1"/>
  <c r="K124" i="1"/>
  <c r="F83" i="30"/>
  <c r="F84" i="30" s="1"/>
  <c r="B81" i="30"/>
  <c r="B82" i="30" s="1"/>
  <c r="H56" i="30"/>
  <c r="H57" i="30" s="1"/>
  <c r="G30" i="31"/>
  <c r="L25" i="30"/>
  <c r="L87" i="30" s="1"/>
  <c r="H30" i="31"/>
  <c r="F27" i="31"/>
  <c r="F81" i="30"/>
  <c r="F82" i="30" s="1"/>
  <c r="F59" i="30"/>
  <c r="G56" i="30"/>
  <c r="G57" i="30" s="1"/>
  <c r="G25" i="30"/>
  <c r="G68" i="30" s="1"/>
  <c r="E30" i="31"/>
  <c r="G81" i="30"/>
  <c r="G82" i="30" s="1"/>
  <c r="L60" i="30"/>
  <c r="M126" i="1" s="1"/>
  <c r="F56" i="30"/>
  <c r="F57" i="30" s="1"/>
  <c r="F25" i="30"/>
  <c r="F68" i="30" s="1"/>
  <c r="F30" i="31"/>
  <c r="M24" i="1"/>
  <c r="L24" i="1"/>
  <c r="C7" i="24"/>
  <c r="H25" i="1"/>
  <c r="I25" i="1"/>
  <c r="I24" i="1"/>
  <c r="H24" i="1"/>
  <c r="C6" i="24"/>
  <c r="H19" i="8"/>
  <c r="H40" i="8"/>
  <c r="L52" i="1"/>
  <c r="M52" i="1"/>
  <c r="D35" i="24"/>
  <c r="D36" i="24" s="1"/>
  <c r="I9" i="2"/>
  <c r="H13" i="19"/>
  <c r="E13" i="19" s="1"/>
  <c r="K68" i="1" s="1"/>
  <c r="M68" i="1" s="1"/>
  <c r="I11" i="2"/>
  <c r="I7" i="2"/>
  <c r="J23" i="2"/>
  <c r="J26" i="2"/>
  <c r="J35" i="2"/>
  <c r="S11" i="2"/>
  <c r="V11" i="2" s="1"/>
  <c r="J40" i="2"/>
  <c r="J10" i="2"/>
  <c r="J39" i="2"/>
  <c r="J27" i="2"/>
  <c r="I20" i="2"/>
  <c r="J7" i="2"/>
  <c r="J24" i="2"/>
  <c r="J18" i="2"/>
  <c r="I21" i="2"/>
  <c r="I22" i="2"/>
  <c r="J25" i="2"/>
  <c r="C22" i="24"/>
  <c r="L26" i="1"/>
  <c r="B15" i="24"/>
  <c r="E33" i="1"/>
  <c r="I20" i="1"/>
  <c r="H20" i="1"/>
  <c r="D8" i="24"/>
  <c r="M20" i="1"/>
  <c r="L20" i="1"/>
  <c r="H57" i="1"/>
  <c r="C31" i="24"/>
  <c r="H46" i="1"/>
  <c r="C2" i="24"/>
  <c r="H59" i="1"/>
  <c r="L61" i="1"/>
  <c r="I31" i="1"/>
  <c r="L36" i="1"/>
  <c r="H31" i="1"/>
  <c r="M133" i="1"/>
  <c r="L133" i="1"/>
  <c r="D133" i="1"/>
  <c r="H133" i="1"/>
  <c r="E133" i="1"/>
  <c r="I133" i="1"/>
  <c r="H38" i="31"/>
  <c r="X50" i="3" s="1"/>
  <c r="E48" i="3" s="1"/>
  <c r="G38" i="31"/>
  <c r="W50" i="3" s="1"/>
  <c r="D48" i="3" s="1"/>
  <c r="E41" i="31"/>
  <c r="U55" i="3" s="1"/>
  <c r="B49" i="3" s="1"/>
  <c r="F41" i="31"/>
  <c r="V55" i="3" s="1"/>
  <c r="C49" i="3" s="1"/>
  <c r="G41" i="31"/>
  <c r="W55" i="3" s="1"/>
  <c r="D49" i="3" s="1"/>
  <c r="E38" i="31"/>
  <c r="U50" i="3" s="1"/>
  <c r="B48" i="3" s="1"/>
  <c r="L28" i="1"/>
  <c r="M28" i="1"/>
  <c r="C8" i="24"/>
  <c r="H26" i="1"/>
  <c r="Q11" i="2"/>
  <c r="T11" i="2" s="1"/>
  <c r="D6" i="24"/>
  <c r="I57" i="1"/>
  <c r="F12" i="19"/>
  <c r="C12" i="19" s="1"/>
  <c r="C60" i="1" s="1"/>
  <c r="S12" i="2"/>
  <c r="V12" i="2" s="1"/>
  <c r="C9" i="24"/>
  <c r="H27" i="1"/>
  <c r="L27" i="1"/>
  <c r="D9" i="24"/>
  <c r="M27" i="1"/>
  <c r="D30" i="1"/>
  <c r="B12" i="24"/>
  <c r="E30" i="1"/>
  <c r="C26" i="24"/>
  <c r="H44" i="1"/>
  <c r="I44" i="1"/>
  <c r="D22" i="24"/>
  <c r="L40" i="1"/>
  <c r="M40" i="1"/>
  <c r="B19" i="24"/>
  <c r="D37" i="1"/>
  <c r="E37" i="1"/>
  <c r="B10" i="24"/>
  <c r="E28" i="1"/>
  <c r="D28" i="1"/>
  <c r="C35" i="24"/>
  <c r="I61" i="1"/>
  <c r="H61" i="1"/>
  <c r="L31" i="1"/>
  <c r="M31" i="1"/>
  <c r="M25" i="1"/>
  <c r="K25" i="30"/>
  <c r="K68" i="30" s="1"/>
  <c r="D7" i="24"/>
  <c r="C13" i="20"/>
  <c r="C16" i="20" s="1"/>
  <c r="J25" i="30"/>
  <c r="D13" i="20"/>
  <c r="D16" i="20" s="1"/>
  <c r="Q10" i="2"/>
  <c r="T10" i="2" s="1"/>
  <c r="D49" i="20"/>
  <c r="D43" i="20"/>
  <c r="D27" i="24"/>
  <c r="L45" i="1"/>
  <c r="M45" i="1"/>
  <c r="M43" i="1"/>
  <c r="L43" i="1"/>
  <c r="D25" i="24"/>
  <c r="D24" i="24" s="1"/>
  <c r="I33" i="1"/>
  <c r="H33" i="1"/>
  <c r="D57" i="1"/>
  <c r="B31" i="24"/>
  <c r="E57" i="1"/>
  <c r="H41" i="1"/>
  <c r="I41" i="1"/>
  <c r="C23" i="24"/>
  <c r="M37" i="1"/>
  <c r="L37" i="1"/>
  <c r="D19" i="24"/>
  <c r="D10" i="24"/>
  <c r="D61" i="1"/>
  <c r="B35" i="24"/>
  <c r="B36" i="24" s="1"/>
  <c r="E61" i="1"/>
  <c r="D44" i="1"/>
  <c r="E44" i="1"/>
  <c r="I34" i="1"/>
  <c r="C16" i="24"/>
  <c r="M57" i="1"/>
  <c r="L57" i="1"/>
  <c r="D20" i="24"/>
  <c r="M38" i="1"/>
  <c r="L38" i="1"/>
  <c r="H28" i="1"/>
  <c r="I28" i="1"/>
  <c r="B16" i="24"/>
  <c r="E34" i="1"/>
  <c r="D34" i="1"/>
  <c r="L44" i="1"/>
  <c r="M44" i="1"/>
  <c r="I37" i="2"/>
  <c r="I39" i="2"/>
  <c r="I41" i="2"/>
  <c r="J38" i="2"/>
  <c r="I12" i="2"/>
  <c r="J34" i="2"/>
  <c r="I38" i="2"/>
  <c r="J8" i="2"/>
  <c r="J9" i="2"/>
  <c r="I19" i="2"/>
  <c r="I8" i="2"/>
  <c r="J36" i="2"/>
  <c r="I27" i="2"/>
  <c r="J22" i="2"/>
  <c r="J19" i="2"/>
  <c r="I36" i="2"/>
  <c r="I40" i="2"/>
  <c r="J11" i="2"/>
  <c r="J41" i="2"/>
  <c r="J21" i="2"/>
  <c r="J20" i="2"/>
  <c r="J37" i="2"/>
  <c r="I34" i="2"/>
  <c r="I10" i="2"/>
  <c r="I24" i="2"/>
  <c r="J12" i="2"/>
  <c r="I25" i="2"/>
  <c r="I18" i="2"/>
  <c r="I35" i="2"/>
  <c r="I26" i="2"/>
  <c r="G14" i="19"/>
  <c r="D14" i="19" s="1"/>
  <c r="G69" i="1" s="1"/>
  <c r="H14" i="19"/>
  <c r="E14" i="19" s="1"/>
  <c r="K69" i="1" s="1"/>
  <c r="F14" i="19"/>
  <c r="C14" i="19" s="1"/>
  <c r="C69" i="1" s="1"/>
  <c r="E27" i="1"/>
  <c r="B9" i="24"/>
  <c r="D27" i="1"/>
  <c r="H45" i="1"/>
  <c r="I45" i="1"/>
  <c r="D40" i="1"/>
  <c r="B22" i="24"/>
  <c r="D41" i="1"/>
  <c r="E41" i="1"/>
  <c r="D59" i="1"/>
  <c r="B33" i="24"/>
  <c r="E59" i="1"/>
  <c r="E36" i="1"/>
  <c r="D36" i="1"/>
  <c r="B18" i="24"/>
  <c r="C32" i="24"/>
  <c r="H58" i="1"/>
  <c r="H38" i="1"/>
  <c r="C20" i="24"/>
  <c r="I38" i="1"/>
  <c r="H30" i="1"/>
  <c r="C12" i="24"/>
  <c r="C11" i="24" s="1"/>
  <c r="I30" i="1"/>
  <c r="M59" i="1"/>
  <c r="L59" i="1"/>
  <c r="D33" i="24"/>
  <c r="D16" i="24"/>
  <c r="M34" i="1"/>
  <c r="L34" i="1"/>
  <c r="J89" i="30"/>
  <c r="J90" i="30" s="1"/>
  <c r="J71" i="30"/>
  <c r="J72" i="30" s="1"/>
  <c r="H26" i="19"/>
  <c r="E26" i="19" s="1"/>
  <c r="H12" i="19"/>
  <c r="E12" i="19" s="1"/>
  <c r="K60" i="1" s="1"/>
  <c r="F35" i="19"/>
  <c r="C35" i="19" s="1"/>
  <c r="H35" i="19"/>
  <c r="E35" i="19" s="1"/>
  <c r="G12" i="19"/>
  <c r="D12" i="19" s="1"/>
  <c r="G60" i="1" s="1"/>
  <c r="G35" i="19"/>
  <c r="D35" i="19" s="1"/>
  <c r="G26" i="19"/>
  <c r="D26" i="19" s="1"/>
  <c r="F26" i="19"/>
  <c r="C26" i="19" s="1"/>
  <c r="Q14" i="2"/>
  <c r="T14" i="2" s="1"/>
  <c r="R14" i="2"/>
  <c r="U14" i="2" s="1"/>
  <c r="S14" i="2"/>
  <c r="V14" i="2" s="1"/>
  <c r="Q12" i="2"/>
  <c r="T12" i="2" s="1"/>
  <c r="R12" i="2"/>
  <c r="U12" i="2" s="1"/>
  <c r="B32" i="24"/>
  <c r="D58" i="1"/>
  <c r="E58" i="1"/>
  <c r="E52" i="1"/>
  <c r="D52" i="1"/>
  <c r="B20" i="24"/>
  <c r="D38" i="1"/>
  <c r="C30" i="24"/>
  <c r="I52" i="1"/>
  <c r="C25" i="30"/>
  <c r="B27" i="30"/>
  <c r="D25" i="30"/>
  <c r="B25" i="30"/>
  <c r="E43" i="1"/>
  <c r="D43" i="1"/>
  <c r="B25" i="24"/>
  <c r="B24" i="24" s="1"/>
  <c r="M39" i="1"/>
  <c r="D21" i="24"/>
  <c r="L39" i="1"/>
  <c r="C15" i="24"/>
  <c r="H52" i="1"/>
  <c r="B7" i="20"/>
  <c r="B13" i="20"/>
  <c r="C49" i="20"/>
  <c r="C22" i="20"/>
  <c r="B49" i="20"/>
  <c r="B57" i="20" s="1"/>
  <c r="B60" i="20" s="1"/>
  <c r="I37" i="1"/>
  <c r="H37" i="1"/>
  <c r="C19" i="24"/>
  <c r="M58" i="1"/>
  <c r="D32" i="24"/>
  <c r="L58" i="1"/>
  <c r="M41" i="1"/>
  <c r="L41" i="1"/>
  <c r="D23" i="24"/>
  <c r="M33" i="1"/>
  <c r="L33" i="1"/>
  <c r="D15" i="24"/>
  <c r="C21" i="24"/>
  <c r="I39" i="1"/>
  <c r="B13" i="24"/>
  <c r="E31" i="1"/>
  <c r="D31" i="1"/>
  <c r="H68" i="30"/>
  <c r="H87" i="30"/>
  <c r="L30" i="1"/>
  <c r="M30" i="1"/>
  <c r="C33" i="24"/>
  <c r="I26" i="1"/>
  <c r="B22" i="20"/>
  <c r="I27" i="1"/>
  <c r="J28" i="2"/>
  <c r="I23" i="2"/>
  <c r="B23" i="24"/>
  <c r="E45" i="1"/>
  <c r="B27" i="24"/>
  <c r="B28" i="24"/>
  <c r="D46" i="1"/>
  <c r="C25" i="24"/>
  <c r="H43" i="1"/>
  <c r="C18" i="24"/>
  <c r="H36" i="1"/>
  <c r="I36" i="1"/>
  <c r="L46" i="1"/>
  <c r="D13" i="24"/>
  <c r="D11" i="24" s="1"/>
  <c r="R11" i="2"/>
  <c r="U11" i="2" s="1"/>
  <c r="R10" i="2"/>
  <c r="U10" i="2" s="1"/>
  <c r="G51" i="1" s="1"/>
  <c r="S10" i="2"/>
  <c r="V10" i="2" s="1"/>
  <c r="K51" i="1" s="1"/>
  <c r="E26" i="1"/>
  <c r="B8" i="24"/>
  <c r="D26" i="1"/>
  <c r="E20" i="1"/>
  <c r="D20" i="1"/>
  <c r="F71" i="30" l="1"/>
  <c r="F72" i="30" s="1"/>
  <c r="G133" i="1" s="1"/>
  <c r="C25" i="1"/>
  <c r="B7" i="24" s="1"/>
  <c r="C24" i="1"/>
  <c r="B6" i="24" s="1"/>
  <c r="Q15" i="2"/>
  <c r="T15" i="2" s="1"/>
  <c r="C71" i="1" s="1"/>
  <c r="S15" i="2"/>
  <c r="V15" i="2" s="1"/>
  <c r="K71" i="1" s="1"/>
  <c r="L68" i="30"/>
  <c r="H68" i="1"/>
  <c r="C37" i="24"/>
  <c r="D68" i="1"/>
  <c r="B37" i="24"/>
  <c r="B14" i="24"/>
  <c r="K70" i="1"/>
  <c r="M70" i="1" s="1"/>
  <c r="F87" i="30"/>
  <c r="F69" i="30" s="1"/>
  <c r="G62" i="1"/>
  <c r="K3" i="24" s="1"/>
  <c r="B29" i="24"/>
  <c r="E60" i="1"/>
  <c r="E62" i="1" s="1"/>
  <c r="G87" i="30"/>
  <c r="G69" i="30" s="1"/>
  <c r="J60" i="30"/>
  <c r="K126" i="1" s="1"/>
  <c r="M124" i="1"/>
  <c r="L69" i="30"/>
  <c r="L88" i="30"/>
  <c r="I124" i="1"/>
  <c r="F60" i="30"/>
  <c r="G126" i="1" s="1"/>
  <c r="H124" i="1"/>
  <c r="G124" i="1"/>
  <c r="K23" i="1"/>
  <c r="D5" i="24" s="1"/>
  <c r="D4" i="24" s="1"/>
  <c r="G23" i="1"/>
  <c r="C5" i="24" s="1"/>
  <c r="C4" i="24" s="1"/>
  <c r="H77" i="8"/>
  <c r="D25" i="1"/>
  <c r="C23" i="1"/>
  <c r="L68" i="1"/>
  <c r="D37" i="24"/>
  <c r="G70" i="1"/>
  <c r="H70" i="1" s="1"/>
  <c r="G71" i="1"/>
  <c r="H71" i="1" s="1"/>
  <c r="B34" i="24"/>
  <c r="D60" i="1"/>
  <c r="E51" i="1"/>
  <c r="D17" i="24"/>
  <c r="C62" i="1"/>
  <c r="J3" i="24" s="1"/>
  <c r="B17" i="24"/>
  <c r="I13" i="2"/>
  <c r="B11" i="24"/>
  <c r="K87" i="30"/>
  <c r="K88" i="30" s="1"/>
  <c r="C24" i="24"/>
  <c r="J29" i="2"/>
  <c r="C36" i="24"/>
  <c r="C70" i="1"/>
  <c r="D70" i="1" s="1"/>
  <c r="D57" i="20"/>
  <c r="D60" i="20" s="1"/>
  <c r="K13" i="1" s="1"/>
  <c r="D52" i="20"/>
  <c r="D14" i="24"/>
  <c r="J13" i="2"/>
  <c r="D31" i="20"/>
  <c r="D34" i="20" s="1"/>
  <c r="K12" i="1" s="1"/>
  <c r="C14" i="24"/>
  <c r="J87" i="30"/>
  <c r="J68" i="30"/>
  <c r="C29" i="24"/>
  <c r="I51" i="1"/>
  <c r="H51" i="1"/>
  <c r="H69" i="30"/>
  <c r="H88" i="30"/>
  <c r="B16" i="20"/>
  <c r="F13" i="20"/>
  <c r="G79" i="1"/>
  <c r="D42" i="19"/>
  <c r="E42" i="19" s="1"/>
  <c r="K133" i="1"/>
  <c r="I29" i="2"/>
  <c r="C17" i="24"/>
  <c r="B87" i="30"/>
  <c r="B68" i="30"/>
  <c r="F42" i="19"/>
  <c r="G42" i="19" s="1"/>
  <c r="K79" i="1"/>
  <c r="D38" i="24"/>
  <c r="L69" i="1"/>
  <c r="M69" i="1"/>
  <c r="D68" i="30"/>
  <c r="D87" i="30"/>
  <c r="C79" i="1"/>
  <c r="B42" i="19"/>
  <c r="C42" i="19" s="1"/>
  <c r="I69" i="1"/>
  <c r="C38" i="24"/>
  <c r="H69" i="1"/>
  <c r="M60" i="1"/>
  <c r="M62" i="1" s="1"/>
  <c r="L60" i="1"/>
  <c r="D34" i="24"/>
  <c r="K62" i="1"/>
  <c r="L3" i="24" s="1"/>
  <c r="C25" i="20"/>
  <c r="C31" i="20"/>
  <c r="C34" i="20" s="1"/>
  <c r="G12" i="1" s="1"/>
  <c r="C68" i="30"/>
  <c r="C87" i="30"/>
  <c r="F41" i="19"/>
  <c r="K78" i="1"/>
  <c r="I42" i="2"/>
  <c r="C34" i="24"/>
  <c r="I60" i="1"/>
  <c r="I62" i="1" s="1"/>
  <c r="H60" i="1"/>
  <c r="B52" i="20"/>
  <c r="C13" i="1"/>
  <c r="D29" i="24"/>
  <c r="B25" i="20"/>
  <c r="B31" i="20"/>
  <c r="B34" i="20" s="1"/>
  <c r="C12" i="1" s="1"/>
  <c r="F22" i="20"/>
  <c r="C52" i="20"/>
  <c r="C57" i="20"/>
  <c r="C60" i="20" s="1"/>
  <c r="G13" i="1" s="1"/>
  <c r="B41" i="19"/>
  <c r="C78" i="1"/>
  <c r="J42" i="2"/>
  <c r="B38" i="24"/>
  <c r="D69" i="1"/>
  <c r="E69" i="1"/>
  <c r="B89" i="30"/>
  <c r="B90" i="30" s="1"/>
  <c r="B71" i="30"/>
  <c r="B72" i="30" s="1"/>
  <c r="D41" i="19"/>
  <c r="G78" i="1"/>
  <c r="G21" i="9"/>
  <c r="G174" i="9" s="1"/>
  <c r="C21" i="1" s="1"/>
  <c r="G88" i="30" l="1"/>
  <c r="E25" i="1"/>
  <c r="E24" i="1"/>
  <c r="D24" i="1"/>
  <c r="D71" i="1"/>
  <c r="E71" i="1"/>
  <c r="B41" i="24"/>
  <c r="L70" i="1"/>
  <c r="D40" i="24"/>
  <c r="D39" i="24" s="1"/>
  <c r="F88" i="30"/>
  <c r="C72" i="1"/>
  <c r="I71" i="1"/>
  <c r="K69" i="30"/>
  <c r="L131" i="1" s="1"/>
  <c r="M131" i="1"/>
  <c r="H23" i="1"/>
  <c r="M23" i="1"/>
  <c r="L23" i="1"/>
  <c r="I23" i="1"/>
  <c r="D23" i="1"/>
  <c r="E23" i="1"/>
  <c r="B5" i="24"/>
  <c r="B4" i="24" s="1"/>
  <c r="I70" i="1"/>
  <c r="G72" i="1"/>
  <c r="C40" i="24"/>
  <c r="C39" i="24" s="1"/>
  <c r="C41" i="24"/>
  <c r="E70" i="1"/>
  <c r="B40" i="24"/>
  <c r="B39" i="24" s="1"/>
  <c r="G16" i="1"/>
  <c r="G91" i="1" s="1"/>
  <c r="K16" i="1"/>
  <c r="J69" i="30"/>
  <c r="J88" i="30"/>
  <c r="C16" i="1"/>
  <c r="K80" i="1"/>
  <c r="M78" i="1"/>
  <c r="L78" i="1"/>
  <c r="G131" i="1"/>
  <c r="E41" i="19"/>
  <c r="E43" i="19" s="1"/>
  <c r="D43" i="19"/>
  <c r="H131" i="1"/>
  <c r="G41" i="19"/>
  <c r="G43" i="19" s="1"/>
  <c r="F43" i="19"/>
  <c r="L79" i="1"/>
  <c r="M79" i="1"/>
  <c r="I78" i="1"/>
  <c r="G80" i="1"/>
  <c r="H78" i="1"/>
  <c r="H79" i="1"/>
  <c r="I79" i="1"/>
  <c r="C133" i="1"/>
  <c r="E78" i="1"/>
  <c r="D78" i="1"/>
  <c r="C80" i="1"/>
  <c r="D79" i="1"/>
  <c r="E79" i="1"/>
  <c r="M71" i="1"/>
  <c r="M72" i="1" s="1"/>
  <c r="D41" i="24"/>
  <c r="L71" i="1"/>
  <c r="K72" i="1"/>
  <c r="B69" i="30"/>
  <c r="B88" i="30"/>
  <c r="C41" i="19"/>
  <c r="C43" i="19" s="1"/>
  <c r="B43" i="19"/>
  <c r="C88" i="30"/>
  <c r="C69" i="30"/>
  <c r="D88" i="30"/>
  <c r="D69" i="30"/>
  <c r="I131" i="1"/>
  <c r="H21" i="1"/>
  <c r="M21" i="1"/>
  <c r="E21" i="1" l="1"/>
  <c r="E53" i="1" s="1"/>
  <c r="E63" i="1" s="1"/>
  <c r="E72" i="1"/>
  <c r="C91" i="1"/>
  <c r="E16" i="1"/>
  <c r="B20" i="19" s="1"/>
  <c r="I72" i="1"/>
  <c r="K95" i="1"/>
  <c r="K91" i="1"/>
  <c r="C95" i="1"/>
  <c r="G95" i="1"/>
  <c r="M53" i="1"/>
  <c r="M63" i="1" s="1"/>
  <c r="E5" i="23"/>
  <c r="I16" i="1"/>
  <c r="C20" i="19" s="1"/>
  <c r="E6" i="23"/>
  <c r="M16" i="1"/>
  <c r="D20" i="19" s="1"/>
  <c r="I80" i="1"/>
  <c r="E80" i="1"/>
  <c r="K131" i="1"/>
  <c r="E4" i="23"/>
  <c r="E131" i="1"/>
  <c r="M80" i="1"/>
  <c r="D131" i="1"/>
  <c r="C131" i="1"/>
  <c r="C3" i="24"/>
  <c r="I21" i="1"/>
  <c r="I53" i="1" s="1"/>
  <c r="I63" i="1" s="1"/>
  <c r="G53" i="1"/>
  <c r="G63" i="1" s="1"/>
  <c r="K53" i="1"/>
  <c r="K54" i="1" s="1"/>
  <c r="M54" i="1" s="1"/>
  <c r="D3" i="24"/>
  <c r="L21" i="1"/>
  <c r="B3" i="24" l="1"/>
  <c r="C53" i="1"/>
  <c r="J2" i="24" s="1"/>
  <c r="D21" i="1"/>
  <c r="G107" i="1"/>
  <c r="G106" i="1"/>
  <c r="G87" i="1"/>
  <c r="H20" i="19"/>
  <c r="K63" i="1"/>
  <c r="L2" i="24"/>
  <c r="G54" i="1"/>
  <c r="I54" i="1" s="1"/>
  <c r="K2" i="24"/>
  <c r="G73" i="1"/>
  <c r="F5" i="23"/>
  <c r="K4" i="24"/>
  <c r="G64" i="1"/>
  <c r="G99" i="1" s="1"/>
  <c r="C54" i="1" l="1"/>
  <c r="E54" i="1" s="1"/>
  <c r="C63" i="1"/>
  <c r="C106" i="1" s="1"/>
  <c r="G115" i="1"/>
  <c r="G114" i="1"/>
  <c r="G110" i="1"/>
  <c r="G111" i="1"/>
  <c r="K107" i="1"/>
  <c r="K106" i="1"/>
  <c r="K87" i="1"/>
  <c r="L4" i="24"/>
  <c r="K64" i="1"/>
  <c r="K73" i="1"/>
  <c r="F6" i="23"/>
  <c r="G6" i="23" s="1"/>
  <c r="I64" i="1"/>
  <c r="G5" i="23"/>
  <c r="I73" i="1"/>
  <c r="D53" i="19"/>
  <c r="G81" i="1"/>
  <c r="D52" i="19"/>
  <c r="G74" i="1"/>
  <c r="D49" i="19"/>
  <c r="D48" i="19"/>
  <c r="C64" i="1" l="1"/>
  <c r="E64" i="1" s="1"/>
  <c r="J4" i="24"/>
  <c r="C87" i="1"/>
  <c r="C73" i="1"/>
  <c r="C74" i="1" s="1"/>
  <c r="E74" i="1" s="1"/>
  <c r="F4" i="23"/>
  <c r="G4" i="23" s="1"/>
  <c r="C15" i="23" s="1"/>
  <c r="C107" i="1"/>
  <c r="M64" i="1"/>
  <c r="K99" i="1"/>
  <c r="F52" i="19"/>
  <c r="K115" i="1"/>
  <c r="K114" i="1"/>
  <c r="K111" i="1"/>
  <c r="K110" i="1"/>
  <c r="F49" i="19"/>
  <c r="K74" i="1"/>
  <c r="F40" i="19" s="1"/>
  <c r="G40" i="19" s="1"/>
  <c r="G44" i="19" s="1"/>
  <c r="M73" i="1"/>
  <c r="F48" i="19"/>
  <c r="F53" i="19"/>
  <c r="K81" i="1"/>
  <c r="K118" i="1" s="1"/>
  <c r="D40" i="19"/>
  <c r="I74" i="1"/>
  <c r="G119" i="1"/>
  <c r="G118" i="1"/>
  <c r="G82" i="1"/>
  <c r="I82" i="1" s="1"/>
  <c r="I81" i="1"/>
  <c r="B52" i="19" l="1"/>
  <c r="C99" i="1"/>
  <c r="B48" i="19"/>
  <c r="C111" i="1"/>
  <c r="C9" i="23"/>
  <c r="B49" i="19"/>
  <c r="C114" i="1"/>
  <c r="B53" i="19"/>
  <c r="E73" i="1"/>
  <c r="C81" i="1"/>
  <c r="C119" i="1" s="1"/>
  <c r="C115" i="1"/>
  <c r="C110" i="1"/>
  <c r="M81" i="1"/>
  <c r="F44" i="19"/>
  <c r="K82" i="1"/>
  <c r="M82" i="1" s="1"/>
  <c r="M74" i="1"/>
  <c r="K119" i="1"/>
  <c r="B40" i="19"/>
  <c r="C40" i="19" s="1"/>
  <c r="C44" i="19" s="1"/>
  <c r="E40" i="19"/>
  <c r="E44" i="19" s="1"/>
  <c r="D44" i="19"/>
  <c r="E81" i="1" l="1"/>
  <c r="C82" i="1"/>
  <c r="E82" i="1" s="1"/>
  <c r="C118" i="1"/>
  <c r="B44" i="19"/>
</calcChain>
</file>

<file path=xl/sharedStrings.xml><?xml version="1.0" encoding="utf-8"?>
<sst xmlns="http://schemas.openxmlformats.org/spreadsheetml/2006/main" count="3825" uniqueCount="951">
  <si>
    <t>Pounds per Material</t>
  </si>
  <si>
    <t>Macronutrients</t>
  </si>
  <si>
    <t>Nitrogen</t>
  </si>
  <si>
    <t>Phosphorus</t>
  </si>
  <si>
    <t>Potassium</t>
  </si>
  <si>
    <t>Sulfur</t>
  </si>
  <si>
    <t>Magnesium</t>
  </si>
  <si>
    <t>Calcium</t>
  </si>
  <si>
    <t>Zinc</t>
  </si>
  <si>
    <t>Boron</t>
  </si>
  <si>
    <t>Unit Size</t>
  </si>
  <si>
    <t>Units</t>
  </si>
  <si>
    <t>Units/Pkg</t>
  </si>
  <si>
    <t>None</t>
  </si>
  <si>
    <t>UAN 28% (28-0-0)</t>
  </si>
  <si>
    <t>gal</t>
  </si>
  <si>
    <t>Tons</t>
  </si>
  <si>
    <t>Ammonium polyphosphate (10-34-0)</t>
  </si>
  <si>
    <t>Urea (46-0-0)</t>
  </si>
  <si>
    <t>lbs</t>
  </si>
  <si>
    <t>Thiosul (12-0-0-26)</t>
  </si>
  <si>
    <t>DAP (18-46-0)</t>
  </si>
  <si>
    <t>AMS (21-0-0-24S)</t>
  </si>
  <si>
    <t>K-Mag (0-0-22-11Mg-21S)</t>
  </si>
  <si>
    <t>Gallons</t>
  </si>
  <si>
    <t>Gypsum (0-0-0-17S-21Ca)</t>
  </si>
  <si>
    <t>Anhydrous (82-0-0)</t>
  </si>
  <si>
    <t>Micronutrients</t>
  </si>
  <si>
    <t>Boron (14.3%)</t>
  </si>
  <si>
    <t>Pound</t>
  </si>
  <si>
    <t>Zinc (35.5%)</t>
  </si>
  <si>
    <t>qts</t>
  </si>
  <si>
    <t>Lime</t>
  </si>
  <si>
    <t>Pelleted Lime</t>
  </si>
  <si>
    <t>Ton</t>
  </si>
  <si>
    <t>Dolometic</t>
  </si>
  <si>
    <t>tons</t>
  </si>
  <si>
    <t>High Calcium</t>
  </si>
  <si>
    <t>Nitrogen Stabilizers</t>
  </si>
  <si>
    <t>N-Serve</t>
  </si>
  <si>
    <t>ozs</t>
  </si>
  <si>
    <t>Factor</t>
  </si>
  <si>
    <t>qt/ton</t>
  </si>
  <si>
    <t>Nutrisphere</t>
  </si>
  <si>
    <t>Agrotain</t>
  </si>
  <si>
    <t>Instinct</t>
  </si>
  <si>
    <t>Name</t>
  </si>
  <si>
    <t>Selling Unit</t>
  </si>
  <si>
    <t>Rate Unit</t>
  </si>
  <si>
    <t>App Unit</t>
  </si>
  <si>
    <t>qt</t>
  </si>
  <si>
    <t>2,4-D</t>
  </si>
  <si>
    <t>pt</t>
  </si>
  <si>
    <t>Gallon</t>
  </si>
  <si>
    <t>oz</t>
  </si>
  <si>
    <t>Ounce</t>
  </si>
  <si>
    <t>Armezon Pro</t>
  </si>
  <si>
    <t>lb</t>
  </si>
  <si>
    <t>Cadet</t>
  </si>
  <si>
    <t>Quart</t>
  </si>
  <si>
    <t>Outlook</t>
  </si>
  <si>
    <t>Sharpen</t>
  </si>
  <si>
    <t>Zidua</t>
  </si>
  <si>
    <t>Ammonium Sulfate</t>
  </si>
  <si>
    <t>Corn</t>
  </si>
  <si>
    <t>Per Acre</t>
  </si>
  <si>
    <t>Loans</t>
  </si>
  <si>
    <t>Acres to Cover Loans:</t>
  </si>
  <si>
    <t>Operating</t>
  </si>
  <si>
    <t>Description</t>
  </si>
  <si>
    <t>Purchase Price</t>
  </si>
  <si>
    <t>Loan Terms (Years)</t>
  </si>
  <si>
    <t>Interest Rate</t>
  </si>
  <si>
    <t>Yearly Payment</t>
  </si>
  <si>
    <t>Interest Payment</t>
  </si>
  <si>
    <t>Interest Payment/Acre</t>
  </si>
  <si>
    <t>Yearly Payment/Acre</t>
  </si>
  <si>
    <t>Total Cost</t>
  </si>
  <si>
    <t>Capital Purchases</t>
  </si>
  <si>
    <t>Total Field</t>
  </si>
  <si>
    <t>Seed</t>
  </si>
  <si>
    <t>Fertilizer</t>
  </si>
  <si>
    <t>Custom Hire</t>
  </si>
  <si>
    <t>Driver &amp; Equipment Hire</t>
  </si>
  <si>
    <t>Equipment Hire</t>
  </si>
  <si>
    <t>Crop Insurance</t>
  </si>
  <si>
    <t>Freight &amp; Trucking</t>
  </si>
  <si>
    <t>Gas/Fuel</t>
  </si>
  <si>
    <t>Equipment Fuel</t>
  </si>
  <si>
    <t>Drying Propane</t>
  </si>
  <si>
    <t>Repairs &amp; Maintenance</t>
  </si>
  <si>
    <t>Supplies</t>
  </si>
  <si>
    <t>Storage</t>
  </si>
  <si>
    <t>Utilities</t>
  </si>
  <si>
    <t>Irrigation</t>
  </si>
  <si>
    <t>Property Taxes</t>
  </si>
  <si>
    <t>N</t>
  </si>
  <si>
    <t>P</t>
  </si>
  <si>
    <t>K</t>
  </si>
  <si>
    <t>S</t>
  </si>
  <si>
    <t>Ca</t>
  </si>
  <si>
    <t>Mg</t>
  </si>
  <si>
    <t>Z</t>
  </si>
  <si>
    <t>B</t>
  </si>
  <si>
    <t>Mn</t>
  </si>
  <si>
    <t>Brand</t>
  </si>
  <si>
    <t>Purchase Units</t>
  </si>
  <si>
    <t>Package Price (Gals, Lbs, etc.)</t>
  </si>
  <si>
    <t>Rate/Acre</t>
  </si>
  <si>
    <t>Cost</t>
  </si>
  <si>
    <t>Acres</t>
  </si>
  <si>
    <t>Fungicides</t>
  </si>
  <si>
    <t>Bushels</t>
  </si>
  <si>
    <t>Repairs</t>
  </si>
  <si>
    <t>Fuel/Electricity</t>
  </si>
  <si>
    <t>Land Purchases</t>
  </si>
  <si>
    <t>Soybeans</t>
  </si>
  <si>
    <t>Wheat</t>
  </si>
  <si>
    <t>Cost/Acre</t>
  </si>
  <si>
    <t>Sugar Beets</t>
  </si>
  <si>
    <t>Alfalfa Hay</t>
  </si>
  <si>
    <t>Dry Beans</t>
  </si>
  <si>
    <t>Expected Yield</t>
  </si>
  <si>
    <t>INCOME</t>
  </si>
  <si>
    <t>CWT</t>
  </si>
  <si>
    <t>MAP (11-52-00)</t>
  </si>
  <si>
    <t>Fertilizer Source</t>
  </si>
  <si>
    <t>Broadcast Fertilizer Cost/Acre</t>
  </si>
  <si>
    <t>(Enter Below)</t>
  </si>
  <si>
    <t>Optill</t>
  </si>
  <si>
    <t>Reflex</t>
  </si>
  <si>
    <t>Adjuvants</t>
  </si>
  <si>
    <t>Ammonium Sulfate (Liquid)</t>
  </si>
  <si>
    <t>Ammonium Sulfate (Replacement)</t>
  </si>
  <si>
    <t>Methylated Seed Oil (MSO)</t>
  </si>
  <si>
    <t>Crop Oil Concentrate</t>
  </si>
  <si>
    <t>Drift Agent/Spreader</t>
  </si>
  <si>
    <t>Total Chemical Cost/Acre</t>
  </si>
  <si>
    <t>Insecticides</t>
  </si>
  <si>
    <t>Insecticide (pint rate)</t>
  </si>
  <si>
    <t>Insecticide (ounce rate)</t>
  </si>
  <si>
    <t>Insecticide (pound rate)</t>
  </si>
  <si>
    <t>Insecticide (quart rate)</t>
  </si>
  <si>
    <t>Callisto</t>
  </si>
  <si>
    <t>Acuron</t>
  </si>
  <si>
    <t>Anthem Maxx</t>
  </si>
  <si>
    <t>Anthem ATZ</t>
  </si>
  <si>
    <t>Post</t>
  </si>
  <si>
    <t>Accent Q</t>
  </si>
  <si>
    <t>Beacon</t>
  </si>
  <si>
    <t>Laudis</t>
  </si>
  <si>
    <t>Revulin Q</t>
  </si>
  <si>
    <t>Timing</t>
  </si>
  <si>
    <t>Site of Action</t>
  </si>
  <si>
    <t>15/14/5</t>
  </si>
  <si>
    <t>15/27</t>
  </si>
  <si>
    <t>5/27</t>
  </si>
  <si>
    <t>2/27</t>
  </si>
  <si>
    <t>5</t>
  </si>
  <si>
    <t>27</t>
  </si>
  <si>
    <t>15</t>
  </si>
  <si>
    <t>3</t>
  </si>
  <si>
    <t>2</t>
  </si>
  <si>
    <t>14</t>
  </si>
  <si>
    <t>5/15/27/27</t>
  </si>
  <si>
    <t>15/14</t>
  </si>
  <si>
    <t>5/15</t>
  </si>
  <si>
    <t>5/27/15</t>
  </si>
  <si>
    <t>4</t>
  </si>
  <si>
    <t>6</t>
  </si>
  <si>
    <t>Mag</t>
  </si>
  <si>
    <t>(Pounds of Actual Nutrient Per Acre)</t>
  </si>
  <si>
    <t>Adjuvant Help Guide</t>
  </si>
  <si>
    <t>Gallons Per Acre</t>
  </si>
  <si>
    <t>Gallons in Tank</t>
  </si>
  <si>
    <t>=Acres/Tank</t>
  </si>
  <si>
    <t>ounces</t>
  </si>
  <si>
    <t>pints</t>
  </si>
  <si>
    <t>Rate Per Tank (lb)</t>
  </si>
  <si>
    <t>Acres/Tank</t>
  </si>
  <si>
    <t>=Rate/Acre</t>
  </si>
  <si>
    <t>Pounds</t>
  </si>
  <si>
    <t xml:space="preserve">v/v % = </t>
  </si>
  <si>
    <t>[(volume of solute)/</t>
  </si>
  <si>
    <t>(volume of solution)]</t>
  </si>
  <si>
    <t xml:space="preserve"> x 100%</t>
  </si>
  <si>
    <t>=</t>
  </si>
  <si>
    <t>1 pint</t>
  </si>
  <si>
    <t>Rate Per Tank (oz)</t>
  </si>
  <si>
    <t>1 quart</t>
  </si>
  <si>
    <t>2 quarts</t>
  </si>
  <si>
    <t>1 gallon</t>
  </si>
  <si>
    <t>Rate Per Tank (pt)</t>
  </si>
  <si>
    <t>Adjuvant (ounces)</t>
  </si>
  <si>
    <t>Adjuvant (pounds)</t>
  </si>
  <si>
    <t>Adjuvant (pints)</t>
  </si>
  <si>
    <t>(for quarts, multiply by 2)</t>
  </si>
  <si>
    <t>Fungicide Cost/Acre</t>
  </si>
  <si>
    <t>Insecticide Cost/Acre</t>
  </si>
  <si>
    <t>1)</t>
  </si>
  <si>
    <t>Each TAB represents a different expense area for the given farm operation.  Click on a TAB to enter specific expense (or income) information.</t>
  </si>
  <si>
    <t>These include:</t>
  </si>
  <si>
    <t>2)</t>
  </si>
  <si>
    <t>Choose the fertilizer from the drop-down menu and enter product/acre to be used.  (i.e. 100lbs/acre of 9-23-30 = 50lbs 18-46-0 &amp; 50lbs 0-0-62lbs)</t>
  </si>
  <si>
    <t>Custom Application</t>
  </si>
  <si>
    <t>Corn Acres</t>
  </si>
  <si>
    <t>Soybean Acres</t>
  </si>
  <si>
    <t>Wheat Acres</t>
  </si>
  <si>
    <t>Land Rent</t>
  </si>
  <si>
    <t>Each crop has its own tab (i.e. Fertilizer - Corn)</t>
  </si>
  <si>
    <t>Input Operating Credits, Capital Purchases (i.e. equipment or livestock), or Land/Buildings.</t>
  </si>
  <si>
    <t>Rate Units</t>
  </si>
  <si>
    <t>Fungicide &amp; Insecticide Chemicals</t>
  </si>
  <si>
    <t>13</t>
  </si>
  <si>
    <t>7</t>
  </si>
  <si>
    <t>9/14</t>
  </si>
  <si>
    <t>Spartan Charge</t>
  </si>
  <si>
    <t>14/14</t>
  </si>
  <si>
    <t>Fusilade DX</t>
  </si>
  <si>
    <t>Pursuit</t>
  </si>
  <si>
    <t>Raptor</t>
  </si>
  <si>
    <t>Ultra Blazer</t>
  </si>
  <si>
    <t>Starane Ultra</t>
  </si>
  <si>
    <t>1</t>
  </si>
  <si>
    <t>Owner Withdrawal</t>
  </si>
  <si>
    <t>Direct &amp; Overhead Expenses</t>
  </si>
  <si>
    <t>Seed Purchases</t>
  </si>
  <si>
    <t>Principal</t>
  </si>
  <si>
    <t>Financing by Crop</t>
  </si>
  <si>
    <t>Intermediate Interest Exp.</t>
  </si>
  <si>
    <t>Operating Interest Exp.</t>
  </si>
  <si>
    <t>Intermediate Principal</t>
  </si>
  <si>
    <t>Long-Term Interest Exp.</t>
  </si>
  <si>
    <t>Long-Term Principal</t>
  </si>
  <si>
    <t>Interest</t>
  </si>
  <si>
    <t>OPERATING EXPENSE RATIO</t>
  </si>
  <si>
    <t>Adjuvant rates are based on gallons of water/acre.  The help guide will assist in calculating the rate/acre needed for the Chemical tab.</t>
  </si>
  <si>
    <t>Financial Scorecard</t>
  </si>
  <si>
    <t>60 - 80%</t>
  </si>
  <si>
    <t>80 - 100%</t>
  </si>
  <si>
    <r>
      <t xml:space="preserve">Only items that are colored in </t>
    </r>
    <r>
      <rPr>
        <b/>
        <sz val="12"/>
        <color theme="4" tint="-0.249977111117893"/>
        <rFont val="Calibri"/>
        <family val="2"/>
        <scheme val="minor"/>
      </rPr>
      <t>BLUE</t>
    </r>
    <r>
      <rPr>
        <b/>
        <sz val="12"/>
        <color theme="1"/>
        <rFont val="Calibri"/>
        <family val="2"/>
        <scheme val="minor"/>
      </rPr>
      <t xml:space="preserve"> should be altered in each TAB.  Changing the value of an item not marked </t>
    </r>
    <r>
      <rPr>
        <b/>
        <sz val="12"/>
        <color theme="4" tint="-0.249977111117893"/>
        <rFont val="Calibri"/>
        <family val="2"/>
        <scheme val="minor"/>
      </rPr>
      <t>BLUE</t>
    </r>
    <r>
      <rPr>
        <b/>
        <sz val="12"/>
        <color theme="1"/>
        <rFont val="Calibri"/>
        <family val="2"/>
        <scheme val="minor"/>
      </rPr>
      <t xml:space="preserve"> can cause the formulas in the spreadsheet to stop working.</t>
    </r>
  </si>
  <si>
    <t>Michigan State University Extension</t>
  </si>
  <si>
    <r>
      <t xml:space="preserve">Herbicides </t>
    </r>
    <r>
      <rPr>
        <b/>
        <i/>
        <sz val="10"/>
        <color theme="4" tint="-0.249977111117893"/>
        <rFont val="Calibri"/>
        <family val="2"/>
        <scheme val="minor"/>
      </rPr>
      <t>(drop down menu)</t>
    </r>
  </si>
  <si>
    <r>
      <t xml:space="preserve">Adjuvants </t>
    </r>
    <r>
      <rPr>
        <b/>
        <i/>
        <sz val="10"/>
        <color theme="4" tint="-0.249977111117893"/>
        <rFont val="Calibri"/>
        <family val="2"/>
        <scheme val="minor"/>
      </rPr>
      <t>(drop down menu)</t>
    </r>
  </si>
  <si>
    <r>
      <t xml:space="preserve">Fungicides </t>
    </r>
    <r>
      <rPr>
        <b/>
        <i/>
        <sz val="10"/>
        <color theme="4" tint="-0.249977111117893"/>
        <rFont val="Calibri"/>
        <family val="2"/>
        <scheme val="minor"/>
      </rPr>
      <t>(drop down menu)</t>
    </r>
  </si>
  <si>
    <r>
      <t xml:space="preserve">Insecticides </t>
    </r>
    <r>
      <rPr>
        <b/>
        <i/>
        <sz val="10"/>
        <color theme="4" tint="-0.249977111117893"/>
        <rFont val="Calibri"/>
        <family val="2"/>
        <scheme val="minor"/>
      </rPr>
      <t>(drop down menu)</t>
    </r>
  </si>
  <si>
    <t>Nutrients Provided by Fertilizer Plan</t>
  </si>
  <si>
    <t>Crop Miscellaneous</t>
  </si>
  <si>
    <t>Repair, Machinery</t>
  </si>
  <si>
    <t>Repair, Buildings</t>
  </si>
  <si>
    <t>Farm Insurance</t>
  </si>
  <si>
    <t>Crop Chemicals</t>
  </si>
  <si>
    <t>Cash Price</t>
  </si>
  <si>
    <t>Herbicides</t>
  </si>
  <si>
    <t>¯</t>
  </si>
  <si>
    <t>More</t>
  </si>
  <si>
    <t>Below</t>
  </si>
  <si>
    <t>Zinc Liquid (12-0-0-12zn)</t>
  </si>
  <si>
    <t>Boron Liquid (0-0-0-10B)</t>
  </si>
  <si>
    <t>Total depreciation</t>
  </si>
  <si>
    <t>Machinery and equipment</t>
  </si>
  <si>
    <t>Titled vehicles</t>
  </si>
  <si>
    <t>Buildings and improvement</t>
  </si>
  <si>
    <t>Purchases</t>
  </si>
  <si>
    <t>Sales</t>
  </si>
  <si>
    <t>Total Depreciation</t>
  </si>
  <si>
    <t>Income Taxes</t>
  </si>
  <si>
    <t>Principal Payment</t>
  </si>
  <si>
    <t>Total Acres</t>
  </si>
  <si>
    <t>Gross Revenue</t>
  </si>
  <si>
    <t>Total Gross Revenue</t>
  </si>
  <si>
    <r>
      <t xml:space="preserve">NOTE: </t>
    </r>
    <r>
      <rPr>
        <sz val="12"/>
        <color theme="1"/>
        <rFont val="Calibri"/>
        <family val="2"/>
        <scheme val="minor"/>
      </rPr>
      <t>Includes an in-depth assessment of nutrients provided at each application of the farm's fertilizer program.</t>
    </r>
  </si>
  <si>
    <r>
      <t xml:space="preserve">NOTE: </t>
    </r>
    <r>
      <rPr>
        <sz val="12"/>
        <color theme="1"/>
        <rFont val="Calibri"/>
        <family val="2"/>
        <scheme val="minor"/>
      </rPr>
      <t>Includes a quick guide to Sites-of-Action used by the farm's chemical program for evaluating weed resistance management.</t>
    </r>
  </si>
  <si>
    <t>Crop Estimating Tool (Detailed Budget)</t>
  </si>
  <si>
    <t>See "Loans &amp; Financing (Detailed)" tab for Interest Expense</t>
  </si>
  <si>
    <t>Intrepid 2F</t>
  </si>
  <si>
    <t>Dimethoate 4EC / 400 (5lb)</t>
  </si>
  <si>
    <t>Dimethoate 4EC / 400 (gal)</t>
  </si>
  <si>
    <t>Regent 4SC</t>
  </si>
  <si>
    <t xml:space="preserve">Choose the Herbicide/Adjuvant being used in the drop-down menu.  </t>
  </si>
  <si>
    <t>Insecticides &amp; Fungicides are also included further down this page.</t>
  </si>
  <si>
    <t>Rate/Acre and price paid per package (i.e. $$/Gallon) need to be input manually.</t>
  </si>
  <si>
    <t>-</t>
  </si>
  <si>
    <t>Additional Resources:</t>
  </si>
  <si>
    <t xml:space="preserve">For more information on Fertilizer Recommendations, see: </t>
  </si>
  <si>
    <t>Repayment Capacity (Cash Flow) Break-even</t>
  </si>
  <si>
    <t>Break-even $$/Bushel</t>
  </si>
  <si>
    <t xml:space="preserve">Break-even Yield/Acre </t>
  </si>
  <si>
    <t>Depreciation Calculator</t>
  </si>
  <si>
    <t>Break-Even Calculations</t>
  </si>
  <si>
    <t>Fertility Program</t>
  </si>
  <si>
    <t>Beginning Year Value</t>
  </si>
  <si>
    <t>Depreciation Rate</t>
  </si>
  <si>
    <t>Phone: (269) 445-4356          Email: laportej@msu.edu</t>
  </si>
  <si>
    <t>Total</t>
  </si>
  <si>
    <t>Expenses</t>
  </si>
  <si>
    <t>To adjust for Nitrogen Credits, reference:</t>
  </si>
  <si>
    <t>Use the tabs listed below to evaluate a more accurate and detailed plan for the farm.</t>
  </si>
  <si>
    <t>Chemical Plan</t>
  </si>
  <si>
    <t>Fertilizer Plan</t>
  </si>
  <si>
    <t>Loans &amp; Financing</t>
  </si>
  <si>
    <t>Hired Labor</t>
  </si>
  <si>
    <t>Other</t>
  </si>
  <si>
    <t>Marketing</t>
  </si>
  <si>
    <r>
      <t xml:space="preserve">Interest </t>
    </r>
    <r>
      <rPr>
        <sz val="10"/>
        <color theme="1"/>
        <rFont val="Calibri"/>
        <family val="2"/>
        <scheme val="minor"/>
      </rPr>
      <t>(Operating)</t>
    </r>
  </si>
  <si>
    <r>
      <t>Interest</t>
    </r>
    <r>
      <rPr>
        <sz val="10"/>
        <color theme="1"/>
        <rFont val="Calibri"/>
        <family val="2"/>
        <scheme val="minor"/>
      </rPr>
      <t xml:space="preserve"> (Term)</t>
    </r>
  </si>
  <si>
    <t>After Corn</t>
  </si>
  <si>
    <t>After Wheat</t>
  </si>
  <si>
    <t>Drop Down Menu</t>
  </si>
  <si>
    <t>EXPENSE</t>
  </si>
  <si>
    <t>Real Estate Taxes</t>
  </si>
  <si>
    <t>Value of Unpaid Labor &amp; Management</t>
  </si>
  <si>
    <t>Labor &amp; Management</t>
  </si>
  <si>
    <t>Value of Farm Production (VFP)</t>
  </si>
  <si>
    <t>VFP + (Unpaid Labor Hours X Hourly Rate)</t>
  </si>
  <si>
    <t>Unpaid Labor</t>
  </si>
  <si>
    <t>Hourly Rate</t>
  </si>
  <si>
    <t>Value of Unpaid Labor &amp; Management Per Crop</t>
  </si>
  <si>
    <t>Value of Unpaid Equity Capital</t>
  </si>
  <si>
    <t>Economic Overhead</t>
  </si>
  <si>
    <t>Total Economic Overhead</t>
  </si>
  <si>
    <t>Total Economic Cost of Production</t>
  </si>
  <si>
    <t>Equity Capital</t>
  </si>
  <si>
    <t>Net Worth (From Balance Sheet)</t>
  </si>
  <si>
    <t>Opportunity Cost (Percentage Rate of Return)</t>
  </si>
  <si>
    <t>Economic (Profit) Break-even</t>
  </si>
  <si>
    <t>Value of Farm Production</t>
  </si>
  <si>
    <t>Unpaid Labor &amp; Management is the value of how much the Farm Manager/Operator is worth to the business (i.e. $40,000)</t>
  </si>
  <si>
    <t>This tab contains the Depreciation, Income Tax, Owner Withdrawal, Unpaid Equity Capital, and Unpaid Labor Management expenses</t>
  </si>
  <si>
    <t>Allocation based on Crop Triggering Payment</t>
  </si>
  <si>
    <t>Government Payments</t>
  </si>
  <si>
    <t>Total Payment =</t>
  </si>
  <si>
    <t>(i.e. CRP, CREP, EQIP, etc.)</t>
  </si>
  <si>
    <t>This tab contains an area to input revenues received from various Government Programs</t>
  </si>
  <si>
    <t>Gov't Payments</t>
  </si>
  <si>
    <t>Total Government Payments</t>
  </si>
  <si>
    <t>Depreciation Value</t>
  </si>
  <si>
    <t>(Beginning Year Value + Purchases - Sales) x Depreciation Rate</t>
  </si>
  <si>
    <t>Corn (acre)</t>
  </si>
  <si>
    <t>Soybean (acre)</t>
  </si>
  <si>
    <t>Wheat (acre)</t>
  </si>
  <si>
    <t>Corn (total)</t>
  </si>
  <si>
    <t>Soybean (total)</t>
  </si>
  <si>
    <t>Wheat (total)</t>
  </si>
  <si>
    <t>After Sugar Beets</t>
  </si>
  <si>
    <t>After Dry Beans</t>
  </si>
  <si>
    <t>After Alfalfa</t>
  </si>
  <si>
    <t>Crop Budget Estimator</t>
  </si>
  <si>
    <t>Economic Profitability</t>
  </si>
  <si>
    <t>Cash Flow</t>
  </si>
  <si>
    <r>
      <t>Economic Profit</t>
    </r>
    <r>
      <rPr>
        <i/>
        <sz val="12"/>
        <color rgb="FF18453B"/>
        <rFont val="Calibri"/>
        <family val="2"/>
        <scheme val="minor"/>
      </rPr>
      <t xml:space="preserve"> </t>
    </r>
    <r>
      <rPr>
        <i/>
        <sz val="10"/>
        <color rgb="FF18453B"/>
        <rFont val="Calibri"/>
        <family val="2"/>
        <scheme val="minor"/>
      </rPr>
      <t>(Net Cash Flow - Unpaid Labor &amp; Equity)</t>
    </r>
  </si>
  <si>
    <t>DEPRECIATION EXPENSE RATIO</t>
  </si>
  <si>
    <t>INTEREST EXPENSE RATIO</t>
  </si>
  <si>
    <t>NET FARM INCOME RATIO</t>
  </si>
  <si>
    <t>5 - 10%</t>
  </si>
  <si>
    <t>10% - over</t>
  </si>
  <si>
    <t>10 - 20%</t>
  </si>
  <si>
    <t>20% - over</t>
  </si>
  <si>
    <t>Net Cash Flow</t>
  </si>
  <si>
    <t>Impacts of Opportunity Costs (Labor &amp; Mgmt/Equity Capital)</t>
  </si>
  <si>
    <t>Total Economic Profit</t>
  </si>
  <si>
    <t>/Bushel</t>
  </si>
  <si>
    <t>*Note: these four ratios add up to 100%</t>
  </si>
  <si>
    <t>ARC/PLC Payments</t>
  </si>
  <si>
    <t>Straight Allocation of ARC/PLC</t>
  </si>
  <si>
    <t>Sugar Beet Lime</t>
  </si>
  <si>
    <t>Crop Insurance Indemnity Payments</t>
  </si>
  <si>
    <t>Total Insurance Payments</t>
  </si>
  <si>
    <t>&lt;=</t>
  </si>
  <si>
    <t>&gt;=</t>
  </si>
  <si>
    <t>Revenue Per Acre</t>
  </si>
  <si>
    <t>Budget Acres</t>
  </si>
  <si>
    <t>Optimization</t>
  </si>
  <si>
    <t>Total Direct &amp; Overhead Cost</t>
  </si>
  <si>
    <t>Optimizing Profitability</t>
  </si>
  <si>
    <t>Optimization Instructions</t>
  </si>
  <si>
    <t>Minimum Costs to Cover</t>
  </si>
  <si>
    <t xml:space="preserve">3. Enter the minimum goal of acres for each crop in column E.  </t>
  </si>
  <si>
    <t>4. Enter the total acres to be planted across all crops in column E.</t>
  </si>
  <si>
    <t>Variable</t>
  </si>
  <si>
    <t>Fixed</t>
  </si>
  <si>
    <t>Variable &amp; Fixed</t>
  </si>
  <si>
    <t>Other (variable)</t>
  </si>
  <si>
    <t>Other (fixed)</t>
  </si>
  <si>
    <t>Cost Comparison Charts</t>
  </si>
  <si>
    <r>
      <t>Depreciation</t>
    </r>
    <r>
      <rPr>
        <sz val="10"/>
        <color theme="1"/>
        <rFont val="Calibri"/>
        <family val="2"/>
        <scheme val="minor"/>
      </rPr>
      <t xml:space="preserve"> (Economic )</t>
    </r>
  </si>
  <si>
    <r>
      <t xml:space="preserve">Interest </t>
    </r>
    <r>
      <rPr>
        <sz val="10"/>
        <color theme="1"/>
        <rFont val="Calibri"/>
        <family val="2"/>
        <scheme val="minor"/>
      </rPr>
      <t>(Oper &amp; Term)</t>
    </r>
  </si>
  <si>
    <r>
      <t xml:space="preserve">Other </t>
    </r>
    <r>
      <rPr>
        <sz val="10"/>
        <color theme="1"/>
        <rFont val="Calibri"/>
        <family val="2"/>
        <scheme val="minor"/>
      </rPr>
      <t>(variable &amp; fixed)</t>
    </r>
  </si>
  <si>
    <t>MESZ (12-40-0-10S-1Z)</t>
  </si>
  <si>
    <t>120 N. Broadway, Suite 116, Cassopolis, MI 49031</t>
  </si>
  <si>
    <t>Triple Superphosphate (0-46-0)</t>
  </si>
  <si>
    <t>Potassium Sulphate (0-0-52-18S)</t>
  </si>
  <si>
    <t>9-18-9 (liquid)</t>
  </si>
  <si>
    <t>19-19-19 (dry)</t>
  </si>
  <si>
    <t>15-15-2 (liquid)</t>
  </si>
  <si>
    <t>15-15-15 (dry)</t>
  </si>
  <si>
    <t>12-24-24 (dry)</t>
  </si>
  <si>
    <t>5-10-5 (dry)</t>
  </si>
  <si>
    <t>10-10-10 (dry)</t>
  </si>
  <si>
    <t>6-12-12 (dry)</t>
  </si>
  <si>
    <r>
      <rPr>
        <sz val="12"/>
        <color theme="1"/>
        <rFont val="Symbol"/>
        <family val="1"/>
        <charset val="2"/>
      </rPr>
      <t>¬</t>
    </r>
    <r>
      <rPr>
        <sz val="12"/>
        <color theme="1"/>
        <rFont val="Calibri"/>
        <family val="2"/>
      </rPr>
      <t xml:space="preserve"> </t>
    </r>
    <r>
      <rPr>
        <sz val="12"/>
        <color theme="1"/>
        <rFont val="Calibri"/>
        <family val="2"/>
        <scheme val="minor"/>
      </rPr>
      <t>Total Cost (goal)</t>
    </r>
  </si>
  <si>
    <r>
      <rPr>
        <sz val="12"/>
        <color theme="1"/>
        <rFont val="Symbol"/>
        <family val="1"/>
        <charset val="2"/>
      </rPr>
      <t>¬</t>
    </r>
    <r>
      <rPr>
        <sz val="12"/>
        <color theme="1"/>
        <rFont val="Calibri"/>
        <family val="2"/>
      </rPr>
      <t xml:space="preserve"> </t>
    </r>
    <r>
      <rPr>
        <sz val="12"/>
        <color theme="1"/>
        <rFont val="Calibri"/>
        <family val="2"/>
        <scheme val="minor"/>
      </rPr>
      <t>Maximum acres</t>
    </r>
    <r>
      <rPr>
        <sz val="12"/>
        <color theme="1"/>
        <rFont val="Calibri"/>
        <family val="1"/>
        <charset val="2"/>
        <scheme val="minor"/>
      </rPr>
      <t xml:space="preserve"> allowed</t>
    </r>
  </si>
  <si>
    <r>
      <rPr>
        <sz val="12"/>
        <color theme="1"/>
        <rFont val="Symbol"/>
        <family val="1"/>
        <charset val="2"/>
      </rPr>
      <t>¬</t>
    </r>
    <r>
      <rPr>
        <sz val="12"/>
        <color theme="1"/>
        <rFont val="Calibri"/>
        <family val="2"/>
      </rPr>
      <t xml:space="preserve"> Use </t>
    </r>
    <r>
      <rPr>
        <sz val="12"/>
        <color theme="1"/>
        <rFont val="Calibri"/>
        <family val="2"/>
        <scheme val="minor"/>
      </rPr>
      <t>Solver Function</t>
    </r>
  </si>
  <si>
    <t>Nutrient Management</t>
  </si>
  <si>
    <t>Use this information to help determine the amount of commercial fertilizer needed in the Fertilizer Plan tab.</t>
  </si>
  <si>
    <t>Total Nutrient Needs</t>
  </si>
  <si>
    <t>This provides detailed information for use with the Fertilizer Plan tab to determine how much commercial fertilizer will need to be applied.</t>
  </si>
  <si>
    <t>Capital &amp; Opportunity</t>
  </si>
  <si>
    <t>How much of every $1.00 generated goes to operating costs?</t>
  </si>
  <si>
    <t>How much of every $1.00 generated goes to depreciation costs?</t>
  </si>
  <si>
    <t>How much of every $1.00 generated goes to interest costs?</t>
  </si>
  <si>
    <t>How much of every $1.00 generated is farm income?</t>
  </si>
  <si>
    <t>Variable Costs</t>
  </si>
  <si>
    <t>Total Fixed Costs</t>
  </si>
  <si>
    <t>Total Variable &amp; Fixed Costs</t>
  </si>
  <si>
    <t>Total Variable Costs</t>
  </si>
  <si>
    <t>Fixed Costs</t>
  </si>
  <si>
    <r>
      <t xml:space="preserve">Depreciation </t>
    </r>
    <r>
      <rPr>
        <sz val="12"/>
        <color theme="1"/>
        <rFont val="Calibri"/>
        <family val="2"/>
        <scheme val="minor"/>
      </rPr>
      <t>(Economic not Taxable)</t>
    </r>
  </si>
  <si>
    <r>
      <t xml:space="preserve">Interest </t>
    </r>
    <r>
      <rPr>
        <sz val="12"/>
        <color theme="1"/>
        <rFont val="Calibri"/>
        <family val="2"/>
        <scheme val="minor"/>
      </rPr>
      <t>(Operating)</t>
    </r>
  </si>
  <si>
    <r>
      <t xml:space="preserve">Owner Withdrawal </t>
    </r>
    <r>
      <rPr>
        <sz val="12"/>
        <color theme="1"/>
        <rFont val="Calibri"/>
        <family val="2"/>
        <scheme val="minor"/>
      </rPr>
      <t>(Family Living)</t>
    </r>
  </si>
  <si>
    <r>
      <t xml:space="preserve">Interest </t>
    </r>
    <r>
      <rPr>
        <sz val="12"/>
        <color theme="1"/>
        <rFont val="Calibri"/>
        <family val="2"/>
        <scheme val="minor"/>
      </rPr>
      <t>(Term)</t>
    </r>
  </si>
  <si>
    <t>Variablecosts, such as Fuel, Labor, Repair &amp; Maintenance, etc., are input here.</t>
  </si>
  <si>
    <r>
      <rPr>
        <b/>
        <sz val="12"/>
        <color theme="1"/>
        <rFont val="Calibri"/>
        <family val="2"/>
        <scheme val="minor"/>
      </rPr>
      <t xml:space="preserve">NOTE: </t>
    </r>
    <r>
      <rPr>
        <sz val="12"/>
        <color theme="1"/>
        <rFont val="Calibri"/>
        <family val="2"/>
        <scheme val="minor"/>
      </rPr>
      <t>Seed cost is found at the top of this tab.</t>
    </r>
  </si>
  <si>
    <t xml:space="preserve">For best results, accrued adjusted costs should be used.  </t>
  </si>
  <si>
    <t>Accrued costs = adding pre-paid costs in the previous year and subtracting pre-paid costs for next year.</t>
  </si>
  <si>
    <r>
      <t>Nitrogen Stabilizers</t>
    </r>
    <r>
      <rPr>
        <b/>
        <i/>
        <sz val="12"/>
        <color theme="9" tint="-0.249977111117893"/>
        <rFont val="Calibri"/>
        <family val="2"/>
        <scheme val="minor"/>
      </rPr>
      <t xml:space="preserve"> </t>
    </r>
    <r>
      <rPr>
        <b/>
        <i/>
        <sz val="12"/>
        <color theme="4" tint="-0.249977111117893"/>
        <rFont val="Calibri"/>
        <family val="2"/>
        <scheme val="minor"/>
      </rPr>
      <t>(drop down menu)</t>
    </r>
  </si>
  <si>
    <t>UAN 32% (32-0-0)</t>
  </si>
  <si>
    <t>Financing</t>
  </si>
  <si>
    <t>Total Financing</t>
  </si>
  <si>
    <t>Total Variable, Fixed, and Financing</t>
  </si>
  <si>
    <t>Tri-State Fertilizer Recommendations</t>
  </si>
  <si>
    <t>IF(AND(E8&lt;=50,'Crop Budget (Main)'!C14&lt;=100,D14&lt;=9),125,IF(AND(E8&lt;=50,'Crop Budget (Main)'!C14&lt;=120,D14&lt;=9),130,IF(AND(E8&lt;=50,'Crop Budget (Main)'!C14&lt;=140,D14&lt;=9),135,IF(AND(E8&lt;=50,'Crop Budget (Main)'!C14&lt;=160,D14&lt;=9),140,IF(AND(E8&lt;=50,'Crop Budget (Main)'!C14&lt;=180,D14&lt;=9),145,IF(AND(E8&lt;=50,'Crop Budget (Main)'!C14&gt;180,D14&lt;=9),145</t>
  </si>
  <si>
    <t>IF(AND(E8&lt;=100,'Crop Budget (Main)'!C14&lt;=100,D14&lt;=9),95,IF(AND(E8&lt;=100,'Crop Budget (Main)'!C14&lt;=120,D14&lt;=9),100,IF(AND(E8&lt;=100,'Crop Budget (Main)'!C14&lt;=140,D14&lt;=9),105,IF(AND(E8&lt;=100,'Crop Budget (Main)'!C14&lt;=160,D14&lt;=9),110,IF(AND(E8&lt;=100,'Crop Budget (Main)'!C14&lt;=180,D14&lt;=9),115,IF(AND(E8&lt;=100,'Crop Budget (Main)'!C14&gt;180,D14&lt;=9),115</t>
  </si>
  <si>
    <t>IF(AND(E8&lt;=150,'Crop Budget (Main)'!C14&lt;=100,D14&lt;=9),65,IF(AND(E8&lt;=150,'Crop Budget (Main)'!C14&lt;=120,D14&lt;=9),70,IF(AND(E8&lt;=150,'Crop Budget (Main)'!C14&lt;=140,D14&lt;=9),75,IF(AND(E8&lt;=150,'Crop Budget (Main)'!C14&lt;=160,D14&lt;=9),80,IF(AND(E8&lt;=150,'Crop Budget (Main)'!C14&lt;=180,D14&lt;=9),85,IF(AND(E8&lt;=150,'Crop Budget (Main)'!C14&gt;180,D14&lt;=9),80</t>
  </si>
  <si>
    <t>IF(AND(E8&lt;=50,'Crop Budget (Main)'!C14&lt;=100,D14&lt;=19),160,IF(AND(E8&lt;=50,'Crop Budget (Main)'!C14&lt;=120,D14&lt;=19),165,IF(AND(E8&lt;=50,'Crop Budget (Main)'!C14&lt;=140,D14&lt;=19),170,IF(AND(E8&lt;=50,'Crop Budget (Main)'!C14&lt;=160,D14&lt;=19),175,IF(AND(E8&lt;=50,'Crop Budget (Main)'!C14&lt;=180,D14&lt;=19),180,IF(AND(E8&lt;=50,'Crop Budget (Main)'!C14&gt;180,D14&lt;=19),180</t>
  </si>
  <si>
    <t>IF(AND(E8&lt;=100,'Crop Budget (Main)'!C14&lt;=100,D14&lt;=19),120,IF(AND(E8&lt;=100,'Crop Budget (Main)'!C14&lt;=120,D14&lt;=19),125,IF(AND(E8&lt;=100,'Crop Budget (Main)'!C14&lt;=140,D14&lt;=19),135,IF(AND(E8&lt;=100,'Crop Budget (Main)'!C14&lt;=160,D14&lt;=19),140,IF(AND(E8&lt;=100,'Crop Budget (Main)'!C14&lt;=180,D14&lt;=19),145,IF(AND(E8&lt;=100,'Crop Budget (Main)'!C14&gt;180,D14&lt;=19),145</t>
  </si>
  <si>
    <t>IF(AND(E8&lt;=150,'Crop Budget (Main)'!C14&lt;=100,D14&lt;=19),85,IF(AND(E8&lt;=150,'Crop Budget (Main)'!C14&lt;=120,D14&lt;=19),90,IF(AND(E8&lt;=150,'Crop Budget (Main)'!C14&lt;=140,D14&lt;=19),95,IF(AND(E8&lt;=150,'Crop Budget (Main)'!C14&lt;=160,D14&lt;=19),100,IF(AND(E8&lt;=150,'Crop Budget (Main)'!C14&lt;=180,D14&lt;=19),105,IF(AND(E8&lt;=150,'Crop Budget (Main)'!C14&gt;180,D14&lt;=19),100</t>
  </si>
  <si>
    <t>IF(AND(E8&lt;=100,'Crop Budget (Main)'!C14&lt;=100,D14&lt;=29),195,IF(AND(E8&lt;=100,'Crop Budget (Main)'!C14&lt;=120,D14&lt;=29),200,IF(AND(E8&lt;=100,'Crop Budget (Main)'!C14&lt;=140,D14&lt;=29),210,IF(AND(E8&lt;=100,'Crop Budget (Main)'!C14&lt;=160,D14&lt;=29),215,IF(AND(E8&lt;=100,'Crop Budget (Main)'!C14&lt;=180,D14&lt;=29),220,IF(AND(E8&lt;=100,'Crop Budget (Main)'!C14&gt;180,D14&lt;=29),220</t>
  </si>
  <si>
    <t>IF(AND(E8&lt;=150,'Crop Budget (Main)'!C14&lt;=100,D14&lt;=29),145,IF(AND(E8&lt;=150,'Crop Budget (Main)'!C14&lt;=120,D14&lt;=29),150,IF(AND(E8&lt;=150,'Crop Budget (Main)'!C14&lt;=140,D14&lt;=29),160,IF(AND(E8&lt;=150,'Crop Budget (Main)'!C14&lt;=160,D14&lt;=29),165,IF(AND(E8&lt;=150,'Crop Budget (Main)'!C14&lt;=180,D14&lt;=29),170,IF(AND(E8&lt;=150,'Crop Budget (Main)'!C14&gt;180,D14&lt;=29),170</t>
  </si>
  <si>
    <t>IF(AND(E8&lt;=50,'Crop Budget (Main)'!C14&lt;=100,D14&lt;=9),125,IF(AND(E8&lt;=50,'Crop Budget (Main)'!C14&lt;=120,D14&lt;=9),130,IF(AND(E8&lt;=50,'Crop Budget (Main)'!C14&lt;=140,D14&lt;=9),135,IF(AND(E8&lt;=50,'Crop Budget (Main)'!C14&lt;=160,D14&lt;=9),140,IF(AND(E8&lt;=50,'Crop Budget (Main)'!C14&lt;=180,D14&lt;=9),145,IF(AND(E8&lt;=50,'Crop Budget (Main)'!C14&gt;180,D14&lt;=9),145,IF(AND(E8&lt;=100,'Crop Budget (Main)'!C14&lt;=100,D14&lt;=9),95,IF(AND(E8&lt;=100,'Crop Budget (Main)'!C14&lt;=120,D14&lt;=9),100,IF(AND(E8&lt;=100,'Crop Budget (Main)'!C14&lt;=140,D14&lt;=9),105,IF(AND(E8&lt;=100,'Crop Budget (Main)'!C14&lt;=160,D14&lt;=9),110,IF(AND(E8&lt;=100,'Crop Budget (Main)'!C14&lt;=180,D14&lt;=9),115,IF(AND(E8&lt;=100,'Crop Budget (Main)'!C14&gt;180,D14&lt;=9),115,IF(AND(E8&lt;=150,'Crop Budget (Main)'!C14&lt;=100,D14&lt;=9),65,IF(AND(E8&lt;=150,'Crop Budget (Main)'!C14&lt;=120,D14&lt;=9),70,IF(AND(E8&lt;=150,'Crop Budget (Main)'!C14&lt;=140,D14&lt;=9),75,IF(AND(E8&lt;=150,'Crop Budget (Main)'!C14&lt;=160,D14&lt;=9),80,IF(AND(E8&lt;=150,'Crop Budget (Main)'!C14&lt;=180,D14&lt;=9),85,IF(AND(E8&lt;=150,'Crop Budget (Main)'!C14&gt;180,D14&lt;=9),80,IF(AND(E8&lt;=50,'Crop Budget (Main)'!C14&lt;=100,D14&lt;=19),160,IF(AND(E8&lt;=50,'Crop Budget (Main)'!C14&lt;=120,D14&lt;=19),165,IF(AND(E8&lt;=50,'Crop Budget (Main)'!C14&lt;=140,D14&lt;=19),170,IF(AND(E8&lt;=50,'Crop Budget (Main)'!C14&lt;=160,D14&lt;=19),175,IF(AND(E8&lt;=50,'Crop Budget (Main)'!C14&lt;=180,D14&lt;=19),180,IF(AND(E8&lt;=50,'Crop Budget (Main)'!C14&gt;180,D14&lt;=19),180,IF(AND(E8&lt;=100,'Crop Budget (Main)'!C14&lt;=100,D14&lt;=19),120,IF(AND(E8&lt;=100,'Crop Budget (Main)'!C14&lt;=120,D14&lt;=19),125,IF(AND(E8&lt;=100,'Crop Budget (Main)'!C14&lt;=140,D14&lt;=19),135,IF(AND(E8&lt;=100,'Crop Budget (Main)'!C14&lt;=160,D14&lt;=19),140,IF(AND(E8&lt;=100,'Crop Budget (Main)'!C14&lt;=180,D14&lt;=19),145,IF(AND(E8&lt;=100,'Crop Budget (Main)'!C14&gt;180,D14&lt;=19),145,IF(AND(E8&lt;=150,'Crop Budget (Main)'!C14&lt;=100,D14&lt;=19),85,IF(AND(E8&lt;=150,'Crop Budget (Main)'!C14&lt;=120,D14&lt;=19),90,IF(AND(E8&lt;=150,'Crop Budget (Main)'!C14&lt;=140,D14&lt;=19),95,IF(AND(E8&lt;=150,'Crop Budget (Main)'!C14&lt;=160,D14&lt;=19),100,IF(AND(E8&lt;=150,'Crop Budget (Main)'!C14&lt;=180,D14&lt;=19),105,IF(AND(E8&lt;=150,'Crop Budget (Main)'!C14&gt;180,D14&lt;=19),100,IF(AND(E8&lt;=200,'Crop Budget (Main)'!C14&lt;=100,D14&lt;=19),45,IF(AND(E8&lt;=200,'Crop Budget (Main)'!C14&lt;=120,D14&lt;=19),50,IF(AND(E8&lt;=200,'Crop Budget (Main)'!C14&lt;=140,D14&lt;=19),60,IF(AND(E8&lt;=200,'Crop Budget (Main)'!C14&lt;=160,D14&lt;=19),65,IF(AND(E8&lt;=200,'Crop Budget (Main)'!C14&lt;=180,D14&lt;=19),70,IF(AND(E8&lt;=200,'Crop Budget (Main)'!C14&gt;180,D14&lt;=19),70,IF(AND(E8&lt;=100,'Crop Budget (Main)'!C14&lt;=100,D14&lt;=29),195,IF(AND(E8&lt;=100,'Crop Budget (Main)'!C14&lt;=120,D14&lt;=29),200,IF(AND(E8&lt;=100,'Crop Budget (Main)'!C14&lt;=140,D14&lt;=29),210,IF(AND(E8&lt;=100,'Crop Budget (Main)'!C14&lt;=160,D14&lt;=29),215,IF(AND(E8&lt;=100,'Crop Budget (Main)'!C14&lt;=180,D14&lt;=29),220,IF(AND(E8&lt;=100,'Crop Budget (Main)'!C14&gt;180,D14&lt;=29),220,IF(AND(E8&lt;=150,'Crop Budget (Main)'!C14&lt;=100,D14&lt;=29),145,IF(AND(E8&lt;=150,'Crop Budget (Main)'!C14&lt;=120,D14&lt;=29),150,IF(AND(E8&lt;=150,'Crop Budget (Main)'!C14&lt;=140,D14&lt;=29),160,IF(AND(E8&lt;=150,'Crop Budget (Main)'!C14&lt;=160,D14&lt;=29),165,IF(AND(E8&lt;=150,'Crop Budget (Main)'!C14&lt;=180,D14&lt;=29),170,IF(AND(E8&lt;=150,'Crop Budget (Main)'!C14&gt;180,D14&lt;=29),170,IF(AND(E8&lt;=200,'Crop Budget (Main)'!C14&lt;=100,D14&lt;=29),95,IF(AND(E8&lt;=200,'Crop Budget (Main)'!C14&lt;=120,D14&lt;=29),100,IF(AND(E8&lt;=200,'Crop Budget (Main)'!C14&lt;=140,D14&lt;=29),110,IF(AND(E8&lt;=200,'Crop Budget (Main)'!C14&lt;=160,D14&lt;=29),115,IF(AND(E8&lt;=200,'Crop Budget (Main)'!C14&lt;=180,D14&lt;=29),120,IF(AND(E8&lt;=200,'Crop Budget (Main)'!C14&gt;180,D14&lt;=29),120</t>
  </si>
  <si>
    <t>IF(AND(E8&lt;=250,'Crop Budget (Main)'!C14&lt;=100,D14&lt;=19),45,IF(AND(E8&lt;=250,'Crop Budget (Main)'!C14&lt;=120,D14&lt;=19),50,IF(AND(E8&lt;=250,'Crop Budget (Main)'!C14&lt;=140,D14&lt;=19),60,IF(AND(E8&lt;=250,'Crop Budget (Main)'!C14&lt;=160,D14&lt;=19),65,IF(AND(E8&lt;=250,'Crop Budget (Main)'!C14&lt;=180,D14&lt;=19),70,IF(AND(E8&lt;=250,'Crop Budget (Main)'!C14&gt;180,D14&lt;=19),70</t>
  </si>
  <si>
    <t>IF(AND(E8&lt;=250,'Crop Budget (Main)'!C14&lt;=100,D14&lt;=29),95,IF(AND(E8&lt;=250,'Crop Budget (Main)'!C14&lt;=120,D14&lt;=29),100,IF(AND(E8&lt;=250,'Crop Budget (Main)'!C14&lt;=140,D14&lt;=29),110,IF(AND(E8&lt;=250,'Crop Budget (Main)'!C14&lt;=160,D14&lt;=29),115,IF(AND(E8&lt;=250,'Crop Budget (Main)'!C14&lt;=180,D14&lt;=29),120,IF(AND(E8&lt;=250,'Crop Budget (Main)'!C14&gt;180,D14&lt;=29),120</t>
  </si>
  <si>
    <t>IF(AND(I8&lt;=50,'Crop Budget (Main)'!G14&lt;=30,H14&lt;=9),140,IF(AND(I8&lt;=50,'Crop Budget (Main)'!G14&lt;=40,H14&lt;=9),155,IF(AND(I8&lt;=50,'Crop Budget (Main)'!G14&lt;=50,H14&lt;=9),170,IF(AND(I8&lt;=50,'Crop Budget (Main)'!G14&lt;=60,H14&lt;=9),180,IF(AND(I8&lt;=50,'Crop Budget (Main)'!G14&lt;=70,H14&lt;=9),195,IF(AND(I8&lt;=50,'Crop Budget (Main)'!G14&gt;70,H14&lt;=9),195</t>
  </si>
  <si>
    <t>IF(AND(I8&lt;=100,'Crop Budget (Main)'!G14&lt;=30,H14&lt;=9),110,IF(AND(I8&lt;=100,'Crop Budget (Main)'!G14&lt;=40,H14&lt;=9),125,IF(AND(I8&lt;=100,'Crop Budget (Main)'!G14&lt;=50,H14&lt;=9),135,IF(AND(I8&lt;=100,'Crop Budget (Main)'!G14&lt;=60,H14&lt;=9),150,IF(AND(I8&lt;=100,'Crop Budget (Main)'!G14&lt;=70,H14&lt;=9),165,IF(AND(I8&lt;=100,'Crop Budget (Main)'!G14&gt;70,H14&lt;=9),165</t>
  </si>
  <si>
    <t>IF(AND(I8&lt;=150,'Crop Budget (Main)'!G14&lt;=30,H14&lt;=9),80,IF(AND(I8&lt;=150,'Crop Budget (Main)'!G14&lt;=40,H14&lt;=9),90,IF(AND(I8&lt;=150,'Crop Budget (Main)'!G14&lt;=50,H14&lt;=9),105,IF(AND(I8&lt;=150,'Crop Budget (Main)'!G14&lt;=60,H14&lt;=9),105,IF(AND(I8&lt;=150,'Crop Budget (Main)'!G14&lt;=70,H14&lt;=9),120,IF(AND(I8&lt;=150,'Crop Budget (Main)'!G14&gt;70,H14&lt;=9),120</t>
  </si>
  <si>
    <t>IF(AND(I8&lt;=50,'Crop Budget (Main)'!G14&lt;=30,H14&lt;=19),175,IF(AND(I8&lt;=50,'Crop Budget (Main)'!G14&lt;=40,H14&lt;=19),190,IF(AND(I8&lt;=50,'Crop Budget (Main)'!G14&lt;=50,H14&lt;=19),205,IF(AND(I8&lt;=50,'Crop Budget (Main)'!G14&lt;=60,H14&lt;=19),215,IF(AND(I8&lt;=50,'Crop Budget (Main)'!G14&lt;=70,H14&lt;=19),230,IF(AND(I8&lt;=50,'Crop Budget (Main)'!G14&gt;70,H14&lt;=19),230</t>
  </si>
  <si>
    <t>IF(AND(I8&lt;=100,'Crop Budget (Main)'!G14&lt;=30,H14&lt;=19),135,IF(AND(I8&lt;=100,'Crop Budget (Main)'!G14&lt;=40,H14&lt;=19),150,IF(AND(I8&lt;=100,'Crop Budget (Main)'!G14&lt;=50,H14&lt;=19),165,IF(AND(I8&lt;=100,'Crop Budget (Main)'!G14&lt;=60,H14&lt;=19),180,IF(AND(I8&lt;=100,'Crop Budget (Main)'!G14&lt;=70,H14&lt;=19),195,IF(AND(I8&lt;=100,'Crop Budget (Main)'!G14&gt;70,H14&lt;=19),195</t>
  </si>
  <si>
    <t>IF(AND(I8&lt;=150,'Crop Budget (Main)'!G14&lt;=30,H14&lt;=19),100,IF(AND(I8&lt;=150,'Crop Budget (Main)'!G14&lt;=40,H14&lt;=19),115,IF(AND(I8&lt;=150,'Crop Budget (Main)'!G14&lt;=50,H14&lt;=19),130,IF(AND(I8&lt;=150,'Crop Budget (Main)'!G14&lt;=60,H14&lt;=19),140,IF(AND(I8&lt;=150,'Crop Budget (Main)'!G14&lt;=70,H14&lt;=19),155,IF(AND(I8&lt;=150,'Crop Budget (Main)'!G14&gt;70,H14&lt;=19),155</t>
  </si>
  <si>
    <t>IF(AND(I8&lt;=250,'Crop Budget (Main)'!G14&lt;=30,H14&lt;=19),60,IF(AND(I8&lt;=250,'Crop Budget (Main)'!G14&lt;=40,H14&lt;=19),75,IF(AND(I8&lt;=250,'Crop Budget (Main)'!G14&lt;=50,H14&lt;=19),90,IF(AND(I8&lt;=250,'Crop Budget (Main)'!G14&lt;=60,H14&lt;=19),105,IF(AND(I8&lt;=250,'Crop Budget (Main)'!G14&lt;=70,H14&lt;=19),120,IF(AND(I8&lt;=250,'Crop Budget (Main)'!G14&gt;70,H14&lt;=19),120</t>
  </si>
  <si>
    <t>IF(AND(I8&lt;=100,'Crop Budget (Main)'!G14&lt;=100,H14&lt;=29),210,IF(AND(I8&lt;=100,'Crop Budget (Main)'!G14&lt;=120,H14&lt;=29),225,IF(AND(I8&lt;=100,'Crop Budget (Main)'!G14&lt;=140,H14&lt;=29),240,IF(AND(I8&lt;=100,'Crop Budget (Main)'!G14&lt;=160,H14&lt;=29),255,IF(AND(I8&lt;=100,'Crop Budget (Main)'!G14&lt;=180,H14&lt;=29),270,IF(AND(I8&lt;=100,'Crop Budget (Main)'!G14&gt;180,H14&lt;=29),270</t>
  </si>
  <si>
    <t>IF(AND(I8&lt;=150,'Crop Budget (Main)'!G14&lt;=100,H14&lt;=29),160,IF(AND(I8&lt;=150,'Crop Budget (Main)'!G14&lt;=120,H14&lt;=29),175,IF(AND(I8&lt;=150,'Crop Budget (Main)'!G14&lt;=140,H14&lt;=29),190,IF(AND(I8&lt;=150,'Crop Budget (Main)'!G14&lt;=160,H14&lt;=29),205,IF(AND(I8&lt;=150,'Crop Budget (Main)'!G14&lt;=180,H14&lt;=29),220,IF(AND(I8&lt;=150,'Crop Budget (Main)'!G14&gt;180,H14&lt;=29),220</t>
  </si>
  <si>
    <t>IF(AND(I8&lt;=250,'Crop Budget (Main)'!G14&lt;=100,H14&lt;=29),110,IF(AND(I8&lt;=250,'Crop Budget (Main)'!G14&lt;=120,H14&lt;=29),125,IF(AND(I8&lt;=250,'Crop Budget (Main)'!G14&lt;=140,H14&lt;=29),140,IF(AND(I8&lt;=250,'Crop Budget (Main)'!G14&lt;=160,H14&lt;=29),155,IF(AND(I8&lt;=250,'Crop Budget (Main)'!G14&lt;=180,H14&lt;=29),170,IF(AND(I8&lt;=250,'Crop Budget (Main)'!G14&gt;180,H14&lt;=29),170</t>
  </si>
  <si>
    <t>IF(AND(I8&lt;=50,'Crop Budget (Main)'!G14&lt;=30,H14&lt;=9),140,IF(AND(I8&lt;=50,'Crop Budget (Main)'!G14&lt;=40,H14&lt;=9),155,IF(AND(I8&lt;=50,'Crop Budget (Main)'!G14&lt;=50,H14&lt;=9),170,IF(AND(I8&lt;=50,'Crop Budget (Main)'!G14&lt;=60,H14&lt;=9),180,IF(AND(I8&lt;=50,'Crop Budget (Main)'!G14&lt;=70,H14&lt;=9),195,IF(AND(I8&lt;=50,'Crop Budget (Main)'!G14&gt;70,H14&lt;=9),195,IF(AND(I8&lt;=100,'Crop Budget (Main)'!G14&lt;=30,H14&lt;=9),110,IF(AND(I8&lt;=100,'Crop Budget (Main)'!G14&lt;=40,H14&lt;=9),125,IF(AND(I8&lt;=100,'Crop Budget (Main)'!G14&lt;=50,H14&lt;=9),135,IF(AND(I8&lt;=100,'Crop Budget (Main)'!G14&lt;=60,H14&lt;=9),150,IF(AND(I8&lt;=100,'Crop Budget (Main)'!G14&lt;=70,H14&lt;=9),165,IF(AND(I8&lt;=100,'Crop Budget (Main)'!G14&gt;70,H14&lt;=9),165,IF(AND(I8&lt;=150,'Crop Budget (Main)'!G14&lt;=30,H14&lt;=9),80,IF(AND(I8&lt;=150,'Crop Budget (Main)'!G14&lt;=40,H14&lt;=9),90,IF(AND(I8&lt;=150,'Crop Budget (Main)'!G14&lt;=50,H14&lt;=9),105,IF(AND(I8&lt;=150,'Crop Budget (Main)'!G14&lt;=60,H14&lt;=9),105,IF(AND(I8&lt;=150,'Crop Budget (Main)'!G14&lt;=70,H14&lt;=9),120,IF(AND(I8&lt;=150,'Crop Budget (Main)'!G14&gt;70,H14&lt;=9),120,IF(AND(I8&lt;=50,'Crop Budget (Main)'!G14&lt;=30,H14&lt;=19),175,IF(AND(I8&lt;=50,'Crop Budget (Main)'!G14&lt;=40,H14&lt;=19),190,IF(AND(I8&lt;=50,'Crop Budget (Main)'!G14&lt;=50,H14&lt;=19),205,IF(AND(I8&lt;=50,'Crop Budget (Main)'!G14&lt;=60,H14&lt;=19),215,IF(AND(I8&lt;=50,'Crop Budget (Main)'!G14&lt;=70,H14&lt;=19),230,IF(AND(I8&lt;=50,'Crop Budget (Main)'!G14&gt;70,H14&lt;=19),230,IF(AND(I8&lt;=100,'Crop Budget (Main)'!G14&lt;=30,H14&lt;=19),135,IF(AND(I8&lt;=100,'Crop Budget (Main)'!G14&lt;=40,H14&lt;=19),150,IF(AND(I8&lt;=100,'Crop Budget (Main)'!G14&lt;=50,H14&lt;=19),165,IF(AND(I8&lt;=100,'Crop Budget (Main)'!G14&lt;=60,H14&lt;=19),180,IF(AND(I8&lt;=100,'Crop Budget (Main)'!G14&lt;=70,H14&lt;=19),195,IF(AND(I8&lt;=100,'Crop Budget (Main)'!G14&gt;70,H14&lt;=19),195,IF(AND(I8&lt;=150,'Crop Budget (Main)'!G14&lt;=30,H14&lt;=19),100,IF(AND(I8&lt;=150,'Crop Budget (Main)'!G14&lt;=40,H14&lt;=19),115,IF(AND(I8&lt;=150,'Crop Budget (Main)'!G14&lt;=50,H14&lt;=19),130,IF(AND(I8&lt;=150,'Crop Budget (Main)'!G14&lt;=60,H14&lt;=19),140,IF(AND(I8&lt;=150,'Crop Budget (Main)'!G14&lt;=70,H14&lt;=19),155,IF(AND(I8&lt;=150,'Crop Budget (Main)'!G14&gt;70,H14&lt;=19),155,IF(AND(I8&lt;=250,'Crop Budget (Main)'!G14&lt;=30,H14&lt;=19),60,IF(AND(I8&lt;=250,'Crop Budget (Main)'!G14&lt;=40,H14&lt;=19),75,IF(AND(I8&lt;=250,'Crop Budget (Main)'!G14&lt;=50,H14&lt;=19),90,IF(AND(I8&lt;=250,'Crop Budget (Main)'!G14&lt;=60,H14&lt;=19),105,IF(AND(I8&lt;=250,'Crop Budget (Main)'!G14&lt;=70,H14&lt;=19),120,IF(AND(I8&lt;=250,'Crop Budget (Main)'!G14&gt;70,H14&lt;=19),120,IF(AND(I8&lt;=100,'Crop Budget (Main)'!G14&lt;=100,H14&lt;=29),210,IF(AND(I8&lt;=100,'Crop Budget (Main)'!G14&lt;=120,H14&lt;=29),225,IF(AND(I8&lt;=100,'Crop Budget (Main)'!G14&lt;=140,H14&lt;=29),240,IF(AND(I8&lt;=100,'Crop Budget (Main)'!G14&lt;=160,H14&lt;=29),255,IF(AND(I8&lt;=100,'Crop Budget (Main)'!G14&lt;=180,H14&lt;=29),270,IF(AND(I8&lt;=100,'Crop Budget (Main)'!G14&gt;180,H14&lt;=29),270,IF(AND(I8&lt;=150,'Crop Budget (Main)'!G14&lt;=100,H14&lt;=29),160,IF(AND(I8&lt;=150,'Crop Budget (Main)'!G14&lt;=120,H14&lt;=29),175,IF(AND(I8&lt;=150,'Crop Budget (Main)'!G14&lt;=140,H14&lt;=29),190,IF(AND(I8&lt;=150,'Crop Budget (Main)'!G14&lt;=160,H14&lt;=29),205,IF(AND(I8&lt;=150,'Crop Budget (Main)'!G14&lt;=180,H14&lt;=29),220,IF(AND(I8&lt;=150,'Crop Budget (Main)'!G14&gt;180,H14&lt;=29),220,IF(AND(I8&lt;=250,'Crop Budget (Main)'!G14&lt;=100,H14&lt;=29),110,IF(AND(I8&lt;=250,'Crop Budget (Main)'!G14&lt;=120,H14&lt;=29),125,IF(AND(I8&lt;=250,'Crop Budget (Main)'!G14&lt;=140,H14&lt;=29),140,IF(AND(I8&lt;=250,'Crop Budget (Main)'!G14&lt;=160,H14&lt;=29),155,IF(AND(I8&lt;=250,'Crop Budget (Main)'!G14&lt;=180,H14&lt;=29),170,IF(AND(I8&lt;=250,'Crop Budget (Main)'!G14&gt;180,H14&lt;=29),170</t>
  </si>
  <si>
    <t xml:space="preserve">Input soil test results, manure nutrient analysis, and compare with nutrient removal rates and tri-state recommendations to determine the total amount of nutrients needed.  </t>
  </si>
  <si>
    <t>IF(AND(M8&lt;=50,'Crop Budget (Main)'!K14&lt;=50,L14&lt;=9),115,IF(AND(M8&lt;=50,'Crop Budget (Main)'!K14&lt;=60,L14&lt;=9),130,IF(AND(M8&lt;=50,'Crop Budget (Main)'!K14&lt;=70,L14&lt;=9),125,IF(AND(M8&lt;=50,'Crop Budget (Main)'!K14&lt;=80,L14&lt;=9),130,IF(AND(M8&lt;=50,'Crop Budget (Main)'!K14&lt;=90,L14&lt;=9),130,IF(AND(M8&lt;=50,'Crop Budget (Main)'!K14&gt;90,L14&lt;=9),130</t>
  </si>
  <si>
    <t>IF(AND(M8&lt;=100,'Crop Budget (Main)'!K14&lt;=50,L14&lt;=9),85,IF(AND(M8&lt;=100,'Crop Budget (Main)'!K14&lt;=60,L14&lt;=9),90,IF(AND(M8&lt;=100,'Crop Budget (Main)'!K14&lt;=70,L14&lt;=9),95,IF(AND(M8&lt;=100,'Crop Budget (Main)'!K14&lt;=80,L14&lt;=9),95,IF(AND(M8&lt;=100,'Crop Budget (Main)'!K14&lt;=90,L14&lt;=9),100,IF(AND(M8&lt;=100,'Crop Budget (Main)'!K14&gt;90,L14&lt;=9),100</t>
  </si>
  <si>
    <t>IF(AND(M8&lt;=150,'Crop Budget (Main)'!K14&lt;=50,L14&lt;=9),55,IF(AND(M8&lt;=150,'Crop Budget (Main)'!K14&lt;=60,L14&lt;=9),60,IF(AND(M8&lt;=150,'Crop Budget (Main)'!K14&lt;=70,L14&lt;=9),60,IF(AND(M8&lt;=150,'Crop Budget (Main)'!K14&lt;=80,L14&lt;=9),65,IF(AND(M8&lt;=150,'Crop Budget (Main)'!K14&lt;=90,L14&lt;=9),70,IF(AND(M8&lt;=150,'Crop Budget (Main)'!K14&gt;90,L14&lt;=9),70</t>
  </si>
  <si>
    <t>IF(AND(M8&lt;=50,'Crop Budget (Main)'!K14&lt;=50,L14&lt;=19),150,IF(AND(M8&lt;=50,'Crop Budget (Main)'!K14&lt;=60,L14&lt;=19),155,IF(AND(M8&lt;=50,'Crop Budget (Main)'!K14&lt;=70,L14&lt;=19),160,IF(AND(M8&lt;=50,'Crop Budget (Main)'!K14&lt;=80,L14&lt;=19),160,IF(AND(M8&lt;=50,'Crop Budget (Main)'!K14&lt;=90,L14&lt;=19),165,IF(AND(M8&lt;=50,'Crop Budget (Main)'!K14&gt;90,L14&lt;=19),165</t>
  </si>
  <si>
    <t>IF(AND(M8&lt;=100,'Crop Budget (Main)'!K14&lt;=50,L14&lt;=19),115,IF(AND(M8&lt;=100,'Crop Budget (Main)'!K14&lt;=60,L14&lt;=19),115,IF(AND(M8&lt;=100,'Crop Budget (Main)'!K14&lt;=70,L14&lt;=19),120,IF(AND(M8&lt;=100,'Crop Budget (Main)'!K14&lt;=80,L14&lt;=19),125,IF(AND(M8&lt;=100,'Crop Budget (Main)'!K14&lt;=90,L14&lt;=19),130,IF(AND(M8&lt;=100,'Crop Budget (Main)'!K14&gt;90,L14&lt;=19),130</t>
  </si>
  <si>
    <t>IF(AND(M8&lt;=200,'Crop Budget (Main)'!K14&lt;=50,L14&lt;=19),40,IF(AND(M8&lt;=200,'Crop Budget (Main)'!K14&lt;=60,L14&lt;=19),40,IF(AND(M8&lt;=200,'Crop Budget (Main)'!K14&lt;=70,L14&lt;=19),45,IF(AND(M8&lt;=200,'Crop Budget (Main)'!K14&lt;=80,L14&lt;=19),50,IF(AND(M8&lt;=200,'Crop Budget (Main)'!K14&lt;=90,L14&lt;=19),50,IF(AND(M8&lt;=200,'Crop Budget (Main)'!K14&gt;90,L14&lt;=19),50</t>
  </si>
  <si>
    <t>IF(AND(M8&lt;=100,'Crop Budget (Main)'!K14&lt;=50,L14&lt;=29),190,IF(AND(M8&lt;=100,'Crop Budget (Main)'!K14&lt;=60,L14&lt;=29),190,IF(AND(M8&lt;=100,'Crop Budget (Main)'!K14&lt;=70,L14&lt;=29),195,IF(AND(M8&lt;=100,'Crop Budget (Main)'!K14&lt;=80,L14&lt;=29),200,IF(AND(M8&lt;=100,'Crop Budget (Main)'!K14&lt;=90,L14&lt;=29),205,IF(AND(M8&lt;=100,'Crop Budget (Main)'!K14&gt;90,L14&lt;=29),205</t>
  </si>
  <si>
    <t>IF(AND(M8&lt;=150,'Crop Budget (Main)'!K14&lt;=50,L14&lt;=29),140,IF(AND(M8&lt;=150,'Crop Budget (Main)'!K14&lt;=60,L14&lt;=29),140,IF(AND(M8&lt;=150,'Crop Budget (Main)'!K14&lt;=70,L14&lt;=29),145,IF(AND(M8&lt;=150,'Crop Budget (Main)'!K14&lt;=80,L14&lt;=29),150,IF(AND(M8&lt;=150,'Crop Budget (Main)'!K14&lt;=90,L14&lt;=29),155,IF(AND(M8&lt;=150,'Crop Budget (Main)'!K14&gt;90,L14&lt;=29),155</t>
  </si>
  <si>
    <t>IF(AND(M8&lt;=200,'Crop Budget (Main)'!K14&lt;=50,L14&lt;=29),90,IF(AND(M8&lt;=200,'Crop Budget (Main)'!K14&lt;=60,L14&lt;=29),90,IF(AND(M8&lt;=200,'Crop Budget (Main)'!K14&lt;=70,L14&lt;=29),95,IF(AND(M8&lt;=200,'Crop Budget (Main)'!K14&lt;=80,L14&lt;=29),100,IF(AND(M8&lt;=200,'Crop Budget (Main)'!K14&lt;=90,L14&lt;=29),105,IF(AND(M8&lt;=200,'Crop Budget (Main)'!K14&gt;90,L14&lt;=29),105</t>
  </si>
  <si>
    <t>IF(AND(M8&lt;=150,'Crop Budget (Main)'!K14&lt;=50,L14&lt;=19),75,IF(AND(M8&lt;=150,'Crop Budget (Main)'!K14&lt;=60,L14&lt;=19),80,IF(AND(M8&lt;=150,'Crop Budget (Main)'!K14&lt;=70,L14&lt;=19),85,IF(AND(M8&lt;=150,'Crop Budget (Main)'!K14&lt;=80,L14&lt;=19),85,IF(AND(M8&lt;=150,'Crop Budget (Main)'!K14&lt;=90,L14&lt;=19),90,IF(AND(M8&lt;=150,'Crop Budget (Main)'!K14&gt;90,L14&lt;=19),90</t>
  </si>
  <si>
    <t>IF(AND(M8&lt;=50,'Crop Budget (Main)'!K14&lt;=50,L14&lt;=9),115,IF(AND(M8&lt;=50,'Crop Budget (Main)'!K14&lt;=60,L14&lt;=9),130,IF(AND(M8&lt;=50,'Crop Budget (Main)'!K14&lt;=70,L14&lt;=9),125,IF(AND(M8&lt;=50,'Crop Budget (Main)'!K14&lt;=80,L14&lt;=9),130,IF(AND(M8&lt;=50,'Crop Budget (Main)'!K14&lt;=90,L14&lt;=9),130,IF(AND(M8&lt;=50,'Crop Budget (Main)'!K14&gt;90,L14&lt;=9),130,IF(AND(M8&lt;=100,'Crop Budget (Main)'!K14&lt;=50,L14&lt;=9),85,IF(AND(M8&lt;=100,'Crop Budget (Main)'!K14&lt;=60,L14&lt;=9),90,IF(AND(M8&lt;=100,'Crop Budget (Main)'!K14&lt;=70,L14&lt;=9),95,IF(AND(M8&lt;=100,'Crop Budget (Main)'!K14&lt;=80,L14&lt;=9),95,IF(AND(M8&lt;=100,'Crop Budget (Main)'!K14&lt;=90,L14&lt;=9),100,IF(AND(M8&lt;=100,'Crop Budget (Main)'!K14&gt;90,L14&lt;=9),100,IF(AND(M8&lt;=150,'Crop Budget (Main)'!K14&lt;=50,L14&lt;=9),55,IF(AND(M8&lt;=150,'Crop Budget (Main)'!K14&lt;=60,L14&lt;=9),60,IF(AND(M8&lt;=150,'Crop Budget (Main)'!K14&lt;=70,L14&lt;=9),60,IF(AND(M8&lt;=150,'Crop Budget (Main)'!K14&lt;=80,L14&lt;=9),65,IF(AND(M8&lt;=150,'Crop Budget (Main)'!K14&lt;=90,L14&lt;=9),70,IF(AND(M8&lt;=150,'Crop Budget (Main)'!K14&gt;90,L14&lt;=9),70,IF(AND(M8&lt;=50,'Crop Budget (Main)'!K14&lt;=50,L14&lt;=19),150,IF(AND(M8&lt;=50,'Crop Budget (Main)'!K14&lt;=60,L14&lt;=19),155,IF(AND(M8&lt;=50,'Crop Budget (Main)'!K14&lt;=70,L14&lt;=19),160,IF(AND(M8&lt;=50,'Crop Budget (Main)'!K14&lt;=80,L14&lt;=19),160,IF(AND(M8&lt;=50,'Crop Budget (Main)'!K14&lt;=90,L14&lt;=19),165,IF(AND(M8&lt;=50,'Crop Budget (Main)'!K14&gt;90,L14&lt;=19),165,IF(AND(M8&lt;=100,'Crop Budget (Main)'!K14&lt;=50,L14&lt;=19),115,IF(AND(M8&lt;=100,'Crop Budget (Main)'!K14&lt;=60,L14&lt;=19),115,IF(AND(M8&lt;=100,'Crop Budget (Main)'!K14&lt;=70,L14&lt;=19),120,IF(AND(M8&lt;=100,'Crop Budget (Main)'!K14&lt;=80,L14&lt;=19),125,IF(AND(M8&lt;=100,'Crop Budget (Main)'!K14&lt;=90,L14&lt;=19),130,IF(AND(M8&lt;=100,'Crop Budget (Main)'!K14&gt;90,L14&lt;=19),130,IF(AND(M8&lt;=150,'Crop Budget (Main)'!K14&lt;=50,L14&lt;=19),75,IF(AND(M8&lt;=150,'Crop Budget (Main)'!K14&lt;=60,L14&lt;=19),80,IF(AND(M8&lt;=150,'Crop Budget (Main)'!K14&lt;=70,L14&lt;=19),85,IF(AND(M8&lt;=150,'Crop Budget (Main)'!K14&lt;=80,L14&lt;=19),85,IF(AND(M8&lt;=150,'Crop Budget (Main)'!K14&lt;=90,L14&lt;=19),90,IF(AND(M8&lt;=150,'Crop Budget (Main)'!K14&gt;90,L14&lt;=19),90,IF(AND(M8&lt;=200,'Crop Budget (Main)'!K14&lt;=50,L14&lt;=19),40,IF(AND(M8&lt;=200,'Crop Budget (Main)'!K14&lt;=60,L14&lt;=19),40,IF(AND(M8&lt;=200,'Crop Budget (Main)'!K14&lt;=70,L14&lt;=19),45,IF(AND(M8&lt;=200,'Crop Budget (Main)'!K14&lt;=80,L14&lt;=19),50,IF(AND(M8&lt;=200,'Crop Budget (Main)'!K14&lt;=90,L14&lt;=19),50,IF(AND(M8&lt;=200,'Crop Budget (Main)'!K14&gt;90,L14&lt;=19),50,IF(AND(M8&lt;=100,'Crop Budget (Main)'!K14&lt;=50,L14&lt;=29),190,IF(AND(M8&lt;=100,'Crop Budget (Main)'!K14&lt;=60,L14&lt;=29),190,IF(AND(M8&lt;=100,'Crop Budget (Main)'!K14&lt;=70,L14&lt;=29),195,IF(AND(M8&lt;=100,'Crop Budget (Main)'!K14&lt;=80,L14&lt;=29),200,IF(AND(M8&lt;=100,'Crop Budget (Main)'!K14&lt;=90,L14&lt;=29),205,IF(AND(M8&lt;=100,'Crop Budget (Main)'!K14&gt;90,L14&lt;=29),205,IF(AND(M8&lt;=150,'Crop Budget (Main)'!K14&lt;=50,L14&lt;=29),140,IF(AND(M8&lt;=150,'Crop Budget (Main)'!K14&lt;=60,L14&lt;=29),140,IF(AND(M8&lt;=150,'Crop Budget (Main)'!K14&lt;=70,L14&lt;=29),145,IF(AND(M8&lt;=150,'Crop Budget (Main)'!K14&lt;=80,L14&lt;=29),150,IF(AND(M8&lt;=150,'Crop Budget (Main)'!K14&lt;=90,L14&lt;=29),155,IF(AND(M8&lt;=150,'Crop Budget (Main)'!K14&gt;90,L14&lt;=29),155,IF(AND(M8&lt;=200,'Crop Budget (Main)'!K14&lt;=50,L14&lt;=29),90,IF(AND(M8&lt;=200,'Crop Budget (Main)'!K14&lt;=60,L14&lt;=29),90,IF(AND(M8&lt;=200,'Crop Budget (Main)'!K14&lt;=70,L14&lt;=29),95,IF(AND(M8&lt;=200,'Crop Budget (Main)'!K14&lt;=80,L14&lt;=29),100,IF(AND(M8&lt;=200,'Crop Budget (Main)'!K14&lt;=90,L14&lt;=29),105,IF(AND(M8&lt;=200,'Crop Budget (Main)'!K14&gt;90,L14&lt;=29),105</t>
  </si>
  <si>
    <t>Profit Per Acre</t>
  </si>
  <si>
    <t>Maximized Profit</t>
  </si>
  <si>
    <t>2. Note the revenue per are is provided from the Crop Budget (Main) tab for all crops in column E.</t>
  </si>
  <si>
    <t>5. Click on the Maximized Profit cell in C15 and run the Solver tool (click on Data on the top toolbar).  Solver is pre-programmed, but can be reset using the photo below:</t>
  </si>
  <si>
    <t>Relationship to</t>
  </si>
  <si>
    <t>Storage Capacity</t>
  </si>
  <si>
    <t>Optimization Instructions (w/ storage constraints)</t>
  </si>
  <si>
    <t>3. Follow #5 in the Optimization Instruction to open Solver</t>
  </si>
  <si>
    <t>4. Input the additional constraints of storage as shown below:</t>
  </si>
  <si>
    <t>1. Enter the acres for consideration in the Optimizer in column D4:D6.  The acres already on the Crop Budget (Main) tab have been provided for comparison.</t>
  </si>
  <si>
    <t xml:space="preserve"> (Net Farm Income - Financing + Depreciation)</t>
  </si>
  <si>
    <t>Net Farm Income</t>
  </si>
  <si>
    <t>(Gross Revenue - Variable &amp; Fixed Costs)</t>
  </si>
  <si>
    <r>
      <t xml:space="preserve">Net Returns </t>
    </r>
    <r>
      <rPr>
        <b/>
        <sz val="11"/>
        <color theme="1"/>
        <rFont val="Calibri"/>
        <family val="2"/>
        <scheme val="minor"/>
      </rPr>
      <t xml:space="preserve">(Over Variable &amp; Fixed) </t>
    </r>
  </si>
  <si>
    <r>
      <t xml:space="preserve">Repayment Capacity </t>
    </r>
    <r>
      <rPr>
        <b/>
        <sz val="11"/>
        <color theme="1"/>
        <rFont val="Calibri"/>
        <family val="2"/>
        <scheme val="minor"/>
      </rPr>
      <t>(Cash Flow)</t>
    </r>
  </si>
  <si>
    <r>
      <t>Capital Retainment</t>
    </r>
    <r>
      <rPr>
        <b/>
        <sz val="12"/>
        <color theme="1"/>
        <rFont val="Calibri"/>
        <family val="2"/>
        <scheme val="minor"/>
      </rPr>
      <t xml:space="preserve"> </t>
    </r>
    <r>
      <rPr>
        <b/>
        <sz val="11"/>
        <color theme="1"/>
        <rFont val="Calibri"/>
        <family val="2"/>
        <scheme val="minor"/>
      </rPr>
      <t xml:space="preserve">(Net Worth) </t>
    </r>
  </si>
  <si>
    <r>
      <rPr>
        <b/>
        <i/>
        <sz val="14"/>
        <color rgb="FF18453B"/>
        <rFont val="Calibri"/>
        <family val="2"/>
        <scheme val="minor"/>
      </rPr>
      <t>Return Over Variable Costs</t>
    </r>
    <r>
      <rPr>
        <b/>
        <i/>
        <sz val="12"/>
        <color rgb="FF18453B"/>
        <rFont val="Calibri"/>
        <family val="2"/>
        <scheme val="minor"/>
      </rPr>
      <t xml:space="preserve"> </t>
    </r>
  </si>
  <si>
    <t>(Gross Revenue - Variable Costs)</t>
  </si>
  <si>
    <t>Enter</t>
  </si>
  <si>
    <t>Zinc Sulphate</t>
  </si>
  <si>
    <t>Magnesium Sulfate</t>
  </si>
  <si>
    <t>Manganese</t>
  </si>
  <si>
    <t>3-18-18 (liquid)</t>
  </si>
  <si>
    <t>6-24-6 (liquid)</t>
  </si>
  <si>
    <t>Borosol 10</t>
  </si>
  <si>
    <t>Potassium Acetate (0-0-24)</t>
  </si>
  <si>
    <t>ESN (44-0-0)</t>
  </si>
  <si>
    <t>EDTA ZN (9%)</t>
  </si>
  <si>
    <t>Example:</t>
  </si>
  <si>
    <t>Manganese Sulfate</t>
  </si>
  <si>
    <t>Fertilizer Products &amp; Pricing</t>
  </si>
  <si>
    <t>Input the products and prices for fertilizer, lime, and nitrogen stabilizers to use in the Fertilizer Plan</t>
  </si>
  <si>
    <t>The list of chemicals provided in this tool are based on the MSU Weed Guide.  Additional entry spaces are available to include other chemicals not listed in the guide (i.e. generics, pre-mixes, etc.)</t>
  </si>
  <si>
    <t>Chemical List Tabs (per crop)</t>
  </si>
  <si>
    <t>Potash (0-0-60)</t>
  </si>
  <si>
    <r>
      <t>Macronutrients</t>
    </r>
    <r>
      <rPr>
        <b/>
        <i/>
        <sz val="12"/>
        <color theme="4" tint="-0.249977111117893"/>
        <rFont val="Calibri"/>
        <family val="2"/>
        <scheme val="minor"/>
      </rPr>
      <t xml:space="preserve"> (drop down menu)</t>
    </r>
  </si>
  <si>
    <r>
      <t>Micronutrients</t>
    </r>
    <r>
      <rPr>
        <b/>
        <i/>
        <sz val="12"/>
        <color theme="9" tint="-0.249977111117893"/>
        <rFont val="Calibri"/>
        <family val="2"/>
        <scheme val="minor"/>
      </rPr>
      <t xml:space="preserve"> </t>
    </r>
    <r>
      <rPr>
        <b/>
        <i/>
        <sz val="12"/>
        <color theme="4" tint="-0.249977111117893"/>
        <rFont val="Calibri"/>
        <family val="2"/>
        <scheme val="minor"/>
      </rPr>
      <t>(drop down menu)</t>
    </r>
  </si>
  <si>
    <r>
      <t>Lime</t>
    </r>
    <r>
      <rPr>
        <b/>
        <i/>
        <sz val="12"/>
        <color theme="9" tint="-0.249977111117893"/>
        <rFont val="Calibri"/>
        <family val="2"/>
        <scheme val="minor"/>
      </rPr>
      <t xml:space="preserve"> </t>
    </r>
    <r>
      <rPr>
        <b/>
        <i/>
        <sz val="12"/>
        <color theme="4" tint="-0.249977111117893"/>
        <rFont val="Calibri"/>
        <family val="2"/>
        <scheme val="minor"/>
      </rPr>
      <t>(drop down menu)</t>
    </r>
  </si>
  <si>
    <t>&lt;0 - 60%</t>
  </si>
  <si>
    <t>&lt;0 - 5%</t>
  </si>
  <si>
    <t>&lt;0 - 10%</t>
  </si>
  <si>
    <t>Price/Unit</t>
  </si>
  <si>
    <t>Nutrient Removal</t>
  </si>
  <si>
    <t>Soil Test Based Recommendations</t>
  </si>
  <si>
    <t>Enter Farm Name</t>
  </si>
  <si>
    <t>Nutrient Removal Recs</t>
  </si>
  <si>
    <t>Soil Test Based Recs</t>
  </si>
  <si>
    <t xml:space="preserve">Nutrients still needed based on starting point of soil test recommendations or nutrient removal rates, minus any manure or nutrient credits. </t>
  </si>
  <si>
    <t>Total Nutrients Needed From Commercial Fertilizer</t>
  </si>
  <si>
    <t>Select Previous Crop</t>
  </si>
  <si>
    <t>(Select Below)</t>
  </si>
  <si>
    <t>Input nutrients being credited from legume crops planted in previous year.</t>
  </si>
  <si>
    <t>Nutrient Credit: Previous Crop</t>
  </si>
  <si>
    <t xml:space="preserve">Step 6: </t>
  </si>
  <si>
    <t>Input nutrients being provided in manure applications from previous year(s).</t>
  </si>
  <si>
    <t>Nutrient Credit: Manure - Previous Year(s)</t>
  </si>
  <si>
    <t xml:space="preserve">Step 5: </t>
  </si>
  <si>
    <t>*for all liquid and solid manure types</t>
  </si>
  <si>
    <t>----</t>
  </si>
  <si>
    <t>Days Before Incorporation</t>
  </si>
  <si>
    <t>0-1 days</t>
  </si>
  <si>
    <t>4-7 days</t>
  </si>
  <si>
    <t>If you are using manure or compost, for best results a nutrient analysis is highly recommended.</t>
  </si>
  <si>
    <t>Note:</t>
  </si>
  <si>
    <t>←  See table A4 in Manure Mgmt &amp; Utilization section for approximate manure values in place of nutrient analysis</t>
  </si>
  <si>
    <t>Michigan GAAMPS</t>
  </si>
  <si>
    <t>Manure application methods and nitrogen losses (University of Minnesota)</t>
  </si>
  <si>
    <t>Input nutrients being provided in manure applications "this year" (based on nutrient analysis results).</t>
  </si>
  <si>
    <t>Manure Resources</t>
  </si>
  <si>
    <t>Manure  Application - This Year</t>
  </si>
  <si>
    <t xml:space="preserve">Step 4: </t>
  </si>
  <si>
    <t>Lbs/Acre</t>
  </si>
  <si>
    <t>MSU recommends using soil test-based information to address nutrient needs of your intended yield goals.</t>
  </si>
  <si>
    <t xml:space="preserve">Nutrient removal rates are based on soil nutrients at "maintenance levels."  Soil testing is recommended to confirm maintenance levels exist prior to consideration of removal rates.  </t>
  </si>
  <si>
    <t>Amount of nutrients being removed based on yield goal.</t>
  </si>
  <si>
    <t>Nutrient Recommendation</t>
  </si>
  <si>
    <t xml:space="preserve">Step 3: </t>
  </si>
  <si>
    <t>x 2</t>
  </si>
  <si>
    <t>Pounds (Lbs)</t>
  </si>
  <si>
    <t>PPM</t>
  </si>
  <si>
    <t>PPM to Pounds (Lbs) Conversion Calculator</t>
  </si>
  <si>
    <t>http://cnrc.agron.iastate.edu/</t>
  </si>
  <si>
    <t>Obtained from MSU Fertilizer Recommendation Program, MRTN (Nitrogen) Calculator, Tri-State Recommendations or your local soil lab.</t>
  </si>
  <si>
    <t>Maximum Return to Nitrogen Calculator</t>
  </si>
  <si>
    <t>Soil Test Based Recommendations:</t>
  </si>
  <si>
    <t xml:space="preserve">Step 2: </t>
  </si>
  <si>
    <t>https://www.canr.msu.edu/fertrec/</t>
  </si>
  <si>
    <t>MSU Fertilizer Recommendation Program</t>
  </si>
  <si>
    <t>Yield Goal:</t>
  </si>
  <si>
    <t>Step 1:</t>
  </si>
  <si>
    <t>Manure (solid)</t>
  </si>
  <si>
    <r>
      <t xml:space="preserve">calculator </t>
    </r>
    <r>
      <rPr>
        <sz val="10"/>
        <color theme="1"/>
        <rFont val="Calibri"/>
        <family val="2"/>
      </rPr>
      <t>→</t>
    </r>
  </si>
  <si>
    <t>Manure (liquid)</t>
  </si>
  <si>
    <t>1,000 gal</t>
  </si>
  <si>
    <t>&gt;7 days</t>
  </si>
  <si>
    <t>Compost</t>
  </si>
  <si>
    <t>←Incorporation Adjustment</t>
  </si>
  <si>
    <t>Manure Calculator</t>
  </si>
  <si>
    <t>Manure (Solid)</t>
  </si>
  <si>
    <t>Days of Incorporation %</t>
  </si>
  <si>
    <t>Manure (Liquid)</t>
  </si>
  <si>
    <r>
      <t xml:space="preserve">*Do </t>
    </r>
    <r>
      <rPr>
        <b/>
        <u/>
        <sz val="12"/>
        <color theme="1"/>
        <rFont val="Calibri"/>
        <family val="2"/>
        <scheme val="minor"/>
      </rPr>
      <t>NOT</t>
    </r>
    <r>
      <rPr>
        <sz val="12"/>
        <color theme="1"/>
        <rFont val="Calibri"/>
        <family val="2"/>
        <scheme val="minor"/>
      </rPr>
      <t xml:space="preserve"> use manure values if already input on Nutrient Management tab.  This will double count values in fertilizer plan.</t>
    </r>
  </si>
  <si>
    <t>SuperU (46-0-0)</t>
  </si>
  <si>
    <t>2-3 days</t>
  </si>
  <si>
    <t>Retention Factor</t>
  </si>
  <si>
    <t>Manure Nitrogen Multiplier (wheat)</t>
  </si>
  <si>
    <t>Manure Nitrogen Multiplier (soybeans)</t>
  </si>
  <si>
    <t>Manure Nitrogen Multiplier (corn)</t>
  </si>
  <si>
    <t>CRP land</t>
  </si>
  <si>
    <t>Dry edible beans</t>
  </si>
  <si>
    <t>Grass hay</t>
  </si>
  <si>
    <t>Clover-grass hay</t>
  </si>
  <si>
    <t>Wheat + legume</t>
  </si>
  <si>
    <t>Oats + legume</t>
  </si>
  <si>
    <t>Barley + legume</t>
  </si>
  <si>
    <t>Trefoil, established</t>
  </si>
  <si>
    <t>Clover, seeding</t>
  </si>
  <si>
    <t>Clover, established</t>
  </si>
  <si>
    <t>Alfalfa, seeding</t>
  </si>
  <si>
    <t>Alfalfa, established</t>
  </si>
  <si>
    <t>Select Option Below</t>
  </si>
  <si>
    <t>From Crop Budget (Main)</t>
  </si>
  <si>
    <t>Based on Soil Test Based Recommendations from Nutrient Management tab</t>
  </si>
  <si>
    <t>Based on:</t>
  </si>
  <si>
    <t>Zn</t>
  </si>
  <si>
    <t>Manure Applications ---START HERE</t>
  </si>
  <si>
    <r>
      <t xml:space="preserve">Do you plan to include </t>
    </r>
    <r>
      <rPr>
        <b/>
        <sz val="12"/>
        <color theme="1"/>
        <rFont val="Calibri"/>
        <family val="2"/>
        <scheme val="minor"/>
      </rPr>
      <t>manure cost</t>
    </r>
    <r>
      <rPr>
        <sz val="12"/>
        <color theme="1"/>
        <rFont val="Calibri"/>
        <family val="2"/>
        <scheme val="minor"/>
      </rPr>
      <t xml:space="preserve"> in your fertilizer plan?  Go to the </t>
    </r>
    <r>
      <rPr>
        <b/>
        <sz val="12"/>
        <color theme="1"/>
        <rFont val="Calibri"/>
        <family val="2"/>
        <scheme val="minor"/>
      </rPr>
      <t>Fertilizer Products &amp; Pricing</t>
    </r>
    <r>
      <rPr>
        <sz val="12"/>
        <color theme="1"/>
        <rFont val="Calibri"/>
        <family val="2"/>
        <scheme val="minor"/>
      </rPr>
      <t xml:space="preserve"> worksheet</t>
    </r>
  </si>
  <si>
    <r>
      <t xml:space="preserve">Do you plan to include </t>
    </r>
    <r>
      <rPr>
        <b/>
        <sz val="12"/>
        <color theme="1"/>
        <rFont val="Calibri"/>
        <family val="2"/>
        <scheme val="minor"/>
      </rPr>
      <t>only commercial fertilizer products</t>
    </r>
    <r>
      <rPr>
        <sz val="12"/>
        <color theme="1"/>
        <rFont val="Calibri"/>
        <family val="2"/>
        <scheme val="minor"/>
      </rPr>
      <t xml:space="preserve"> in your fertilizer plan?  Go to the </t>
    </r>
    <r>
      <rPr>
        <b/>
        <sz val="12"/>
        <color theme="1"/>
        <rFont val="Calibri"/>
        <family val="2"/>
        <scheme val="minor"/>
      </rPr>
      <t>Nutrient Management</t>
    </r>
    <r>
      <rPr>
        <sz val="12"/>
        <color theme="1"/>
        <rFont val="Calibri"/>
        <family val="2"/>
        <scheme val="minor"/>
      </rPr>
      <t xml:space="preserve"> worksheet</t>
    </r>
  </si>
  <si>
    <r>
      <rPr>
        <b/>
        <i/>
        <sz val="12"/>
        <color theme="1"/>
        <rFont val="Calibri"/>
        <family val="2"/>
        <scheme val="minor"/>
      </rPr>
      <t xml:space="preserve">Note: </t>
    </r>
    <r>
      <rPr>
        <i/>
        <sz val="12"/>
        <color theme="1"/>
        <rFont val="Calibri"/>
        <family val="2"/>
        <scheme val="minor"/>
      </rPr>
      <t>Step 4 provides an area to include values of manure, preferably based on a nutrient analysis.  Values can also be adjusted based on selected number of days before manure is expected to be incorporated.  Retention factors used to adjust values are based on 2022 proposed MI GAAMPS charts.</t>
    </r>
  </si>
  <si>
    <t>Based on Nutrient Removal from Nutrient Management tab</t>
  </si>
  <si>
    <r>
      <t xml:space="preserve">Total Nutrient Needs </t>
    </r>
    <r>
      <rPr>
        <b/>
        <sz val="12"/>
        <color theme="1"/>
        <rFont val="Calibri"/>
        <family val="2"/>
        <scheme val="minor"/>
      </rPr>
      <t>(Soil Test)</t>
    </r>
  </si>
  <si>
    <r>
      <t xml:space="preserve">Total Nutrient Needs </t>
    </r>
    <r>
      <rPr>
        <b/>
        <sz val="12"/>
        <color theme="1"/>
        <rFont val="Calibri"/>
        <family val="2"/>
        <scheme val="minor"/>
      </rPr>
      <t>(Nutrient Removal)</t>
    </r>
  </si>
  <si>
    <t>Unit</t>
  </si>
  <si>
    <t>(tons, cwt, etc.)</t>
  </si>
  <si>
    <t>Select Crop</t>
  </si>
  <si>
    <t>Asparagus</t>
  </si>
  <si>
    <t>Beets, table</t>
  </si>
  <si>
    <t>Broccoli</t>
  </si>
  <si>
    <t>Brussels Sprouts</t>
  </si>
  <si>
    <t>Cabbage</t>
  </si>
  <si>
    <t>Carrots</t>
  </si>
  <si>
    <t>Cauliflower</t>
  </si>
  <si>
    <t>Celery</t>
  </si>
  <si>
    <t>Cucumber</t>
  </si>
  <si>
    <t>Eggplant</t>
  </si>
  <si>
    <t>Endive</t>
  </si>
  <si>
    <t>Garlic</t>
  </si>
  <si>
    <t>Lettuce</t>
  </si>
  <si>
    <t>Muskmelon</t>
  </si>
  <si>
    <t>Onions (dry)</t>
  </si>
  <si>
    <t>Onions (green)</t>
  </si>
  <si>
    <t>Parsley</t>
  </si>
  <si>
    <t>Parsnips</t>
  </si>
  <si>
    <t>Peas</t>
  </si>
  <si>
    <t>Peppers</t>
  </si>
  <si>
    <t xml:space="preserve">Potatoes </t>
  </si>
  <si>
    <t>Pumpkins</t>
  </si>
  <si>
    <t>Radishes</t>
  </si>
  <si>
    <t>Rhubarb</t>
  </si>
  <si>
    <t>Rutabagas</t>
  </si>
  <si>
    <t>Snap Beans</t>
  </si>
  <si>
    <t>Spinach</t>
  </si>
  <si>
    <t>Squash</t>
  </si>
  <si>
    <t>Sweet Corn</t>
  </si>
  <si>
    <t>Swiss Chard</t>
  </si>
  <si>
    <t>Tomatoes</t>
  </si>
  <si>
    <t>Turnips</t>
  </si>
  <si>
    <t>Watermelon</t>
  </si>
  <si>
    <t>Zucchini</t>
  </si>
  <si>
    <t>Drop Down Menu ---&gt;</t>
  </si>
  <si>
    <t>Alfalfa Meal (5-1-2)</t>
  </si>
  <si>
    <t>Blood Meal (15-0-0)</t>
  </si>
  <si>
    <t>Bone Meal (4-21-0)</t>
  </si>
  <si>
    <t>Chilean Nitrate (15-0-2)</t>
  </si>
  <si>
    <t>Feather Meal (15-0-0)</t>
  </si>
  <si>
    <t>Greensand (0-1.5-5)</t>
  </si>
  <si>
    <t>Guano (10-3-1)</t>
  </si>
  <si>
    <t>Hoof &amp; Horn Meal (16-0-0)</t>
  </si>
  <si>
    <t>Kelp Liquid (0-0-1)</t>
  </si>
  <si>
    <t>cups</t>
  </si>
  <si>
    <t>Kelp Meal (2-1-6)</t>
  </si>
  <si>
    <t>Re-Vita Pro (5-4-5-9Ca)</t>
  </si>
  <si>
    <t>Rock Phosphate (0-3-0)</t>
  </si>
  <si>
    <t>Soy Hydrolysate (10-0-0)</t>
  </si>
  <si>
    <t>Safe Green Lawn (10-0-4-0.5S)</t>
  </si>
  <si>
    <t>Worm Castings (0.5-0.5-0.3)</t>
  </si>
  <si>
    <t>Break-even $$/unit</t>
  </si>
  <si>
    <t>/unit</t>
  </si>
  <si>
    <t>Per Acre By Crop</t>
  </si>
  <si>
    <t>Total Cost By Crop</t>
  </si>
  <si>
    <t>Units Produced</t>
  </si>
  <si>
    <t>Unit Holding Capacity</t>
  </si>
  <si>
    <t>#2</t>
  </si>
  <si>
    <t>#1</t>
  </si>
  <si>
    <t>#3</t>
  </si>
  <si>
    <r>
      <rPr>
        <sz val="12"/>
        <color theme="1"/>
        <rFont val="Symbol"/>
        <family val="1"/>
        <charset val="2"/>
      </rPr>
      <t>¬</t>
    </r>
    <r>
      <rPr>
        <sz val="12"/>
        <color theme="1"/>
        <rFont val="Calibri"/>
        <family val="2"/>
      </rPr>
      <t xml:space="preserve"> </t>
    </r>
    <r>
      <rPr>
        <sz val="12"/>
        <color theme="1"/>
        <rFont val="Calibri"/>
        <family val="2"/>
        <scheme val="minor"/>
      </rPr>
      <t>Minimum crop #1 acres (goal)</t>
    </r>
  </si>
  <si>
    <r>
      <rPr>
        <sz val="12"/>
        <color theme="1"/>
        <rFont val="Symbol"/>
        <family val="1"/>
        <charset val="2"/>
      </rPr>
      <t>¬</t>
    </r>
    <r>
      <rPr>
        <sz val="12"/>
        <color theme="1"/>
        <rFont val="Calibri"/>
        <family val="2"/>
      </rPr>
      <t xml:space="preserve"> </t>
    </r>
    <r>
      <rPr>
        <sz val="12"/>
        <color theme="1"/>
        <rFont val="Calibri"/>
        <family val="2"/>
        <scheme val="minor"/>
      </rPr>
      <t>Minimum crop #2 acres</t>
    </r>
    <r>
      <rPr>
        <sz val="12"/>
        <color theme="1"/>
        <rFont val="Calibri"/>
        <family val="1"/>
        <charset val="2"/>
        <scheme val="minor"/>
      </rPr>
      <t xml:space="preserve"> (goal)</t>
    </r>
  </si>
  <si>
    <r>
      <rPr>
        <sz val="12"/>
        <color theme="1"/>
        <rFont val="Symbol"/>
        <family val="1"/>
        <charset val="2"/>
      </rPr>
      <t>¬</t>
    </r>
    <r>
      <rPr>
        <sz val="12"/>
        <color theme="1"/>
        <rFont val="Calibri"/>
        <family val="2"/>
      </rPr>
      <t xml:space="preserve"> </t>
    </r>
    <r>
      <rPr>
        <sz val="12"/>
        <color theme="1"/>
        <rFont val="Calibri"/>
        <family val="2"/>
        <scheme val="minor"/>
      </rPr>
      <t>Minimum crop #3 acres</t>
    </r>
    <r>
      <rPr>
        <sz val="12"/>
        <color theme="1"/>
        <rFont val="Calibri"/>
        <family val="1"/>
        <charset val="2"/>
        <scheme val="minor"/>
      </rPr>
      <t xml:space="preserve"> (goal)</t>
    </r>
  </si>
  <si>
    <t>Minimum crop #1 acres</t>
  </si>
  <si>
    <t>Minimum crop #2 acres</t>
  </si>
  <si>
    <t>Minimum crop #3 acres</t>
  </si>
  <si>
    <t>MSU Bulletin E-2934, Nutrient Recommendations for Vegetables in Michigan</t>
  </si>
  <si>
    <t>Break-even $$/Unit</t>
  </si>
  <si>
    <t>1st Application of Herbicides</t>
  </si>
  <si>
    <t>2nd Application of Herbicides</t>
  </si>
  <si>
    <t>Vegetable Chemicals</t>
  </si>
  <si>
    <t>Aim EC</t>
  </si>
  <si>
    <t>Armezon, Impact</t>
  </si>
  <si>
    <t>Assure II, Targa</t>
  </si>
  <si>
    <t>AXXE</t>
  </si>
  <si>
    <t>Infantry 90DF, Cornbelt 90DF</t>
  </si>
  <si>
    <t xml:space="preserve">Aatrex 4L, Aatrex Nine-O, Cornbelt 4L, Infantry 4L </t>
  </si>
  <si>
    <t>Balan DF</t>
  </si>
  <si>
    <t>Banvel, Clarity</t>
  </si>
  <si>
    <t>Basagran, Bashazon, Broadloom, Biscayne</t>
  </si>
  <si>
    <t>Betamix</t>
  </si>
  <si>
    <t>Bicep II Magnum, Bicep Lite II Magnum Lexar</t>
  </si>
  <si>
    <t>Breakfree , Harness, Surpass EC, TopNotch</t>
  </si>
  <si>
    <t>Breakfree ATZ, Breakfree ATZ Lite</t>
  </si>
  <si>
    <t>Callisto Xtra</t>
  </si>
  <si>
    <t>Caparol 4L</t>
  </si>
  <si>
    <t>Caravel, Command 3ME</t>
  </si>
  <si>
    <t>Casoron 4G</t>
  </si>
  <si>
    <t>Chateau SW, Valor SX</t>
  </si>
  <si>
    <t>Clethodim 2E, Select Max</t>
  </si>
  <si>
    <t>Commit ATZ, Commit ATZ Lite, Guardsman Max</t>
  </si>
  <si>
    <t>Curbit EC, Sonalan HFP</t>
  </si>
  <si>
    <t>Dacthal Flowable</t>
  </si>
  <si>
    <t>Defol 5</t>
  </si>
  <si>
    <t>Degree Xtra, Fultime, Harness Extra, 
Keystone</t>
  </si>
  <si>
    <t>Devrinol DF-XT</t>
  </si>
  <si>
    <t>Direx 4L, Karmex DF, Parrot 4L, Parrot DF</t>
  </si>
  <si>
    <t>Dominus</t>
  </si>
  <si>
    <t>Dual Magnum, Dual II Magnum, Stalwart C</t>
  </si>
  <si>
    <t>Eptam 7E, Eptam 20G</t>
  </si>
  <si>
    <t>Ethotron SC, Nortron SC</t>
  </si>
  <si>
    <t>Final-San-O</t>
  </si>
  <si>
    <t>Firestorm, Gramoxone SL, Gramoxone SL 2.0</t>
  </si>
  <si>
    <t>22</t>
  </si>
  <si>
    <t>Formula 40, Savage, Weedar</t>
  </si>
  <si>
    <t>Goal 2XL, Goal Tender</t>
  </si>
  <si>
    <t>GreenFurrow EF 400</t>
  </si>
  <si>
    <t>HomePlate</t>
  </si>
  <si>
    <t>Hyvar X</t>
  </si>
  <si>
    <t>Kerb SC</t>
  </si>
  <si>
    <t>League</t>
  </si>
  <si>
    <t>Lexar, Lexar EZ, Lumax, Lumax EZ, Stalwart 3W</t>
  </si>
  <si>
    <t>Liberty 280 SL, Rely 280</t>
  </si>
  <si>
    <t>Linex 4L, Lorox DF</t>
  </si>
  <si>
    <t>Matrix SG</t>
  </si>
  <si>
    <t>Moxy 2E</t>
  </si>
  <si>
    <t>1/2</t>
  </si>
  <si>
    <t>Option</t>
  </si>
  <si>
    <t>Permit, Sandea</t>
  </si>
  <si>
    <t>Poast</t>
  </si>
  <si>
    <t>Prefar 4E</t>
  </si>
  <si>
    <t>Prowl 3.3 C, Prowl H20, Satellite Hydrocap</t>
  </si>
  <si>
    <t>QuinStar 4L</t>
  </si>
  <si>
    <t>4/26</t>
  </si>
  <si>
    <t>Reglone</t>
  </si>
  <si>
    <t>Rezult B</t>
  </si>
  <si>
    <t>Rezult G</t>
  </si>
  <si>
    <t>Ro-Neet</t>
  </si>
  <si>
    <t>8</t>
  </si>
  <si>
    <t>Scythe</t>
  </si>
  <si>
    <t>17</t>
  </si>
  <si>
    <t>ShieldEX</t>
  </si>
  <si>
    <t>Sinate</t>
  </si>
  <si>
    <t>10/27</t>
  </si>
  <si>
    <t>Sinbar WDG</t>
  </si>
  <si>
    <t>Solicam DF</t>
  </si>
  <si>
    <t>12</t>
  </si>
  <si>
    <t>Spartan 4F, Portfolio 4F, Sufin 4SC, Zeus XC, Zone 4F</t>
  </si>
  <si>
    <t>Spartan Advance</t>
  </si>
  <si>
    <t>Spin-Aid</t>
  </si>
  <si>
    <t>Spur, Stinger</t>
  </si>
  <si>
    <t>Strategy</t>
  </si>
  <si>
    <t>3/13</t>
  </si>
  <si>
    <t>Thistrol</t>
  </si>
  <si>
    <t>Treflan 4EC, Triflurex HFP</t>
  </si>
  <si>
    <t>TriCor DF, TriCor 4F</t>
  </si>
  <si>
    <t>Venue</t>
  </si>
  <si>
    <t>Vegetable Fungicides</t>
  </si>
  <si>
    <t>Glyphosate, Roundup PowerMax, Touchdown</t>
  </si>
  <si>
    <t>For more information on Herbicides, Insecticides, and Fungicides, see the Midwest Vegetable Production Guide:</t>
  </si>
  <si>
    <t>Link to the Midwest Vegetable Production Guide</t>
  </si>
  <si>
    <t>Acramite 50WS, Floramite</t>
  </si>
  <si>
    <t>Actara, Cruiser 5FS, Flagship 25WG, Platinum 25C</t>
  </si>
  <si>
    <t>Admire Pro, Mantra 60WSP, Marathon 60 WP, Nuprid</t>
  </si>
  <si>
    <t>Agri-Mek SC, Abba Ultra</t>
  </si>
  <si>
    <t>Ammo 2.5EC, Holster, UpCycle 2.5EC</t>
  </si>
  <si>
    <t>Asana XL, S-FenvaloStar</t>
  </si>
  <si>
    <t>Assail 30SG, Assail 70WP, Tristar 8.5SL</t>
  </si>
  <si>
    <t>Athena</t>
  </si>
  <si>
    <t>Avaunt</t>
  </si>
  <si>
    <t>Aza-Direct, AzaGuard, AzaSol, Azatin O, Azatrol EC, Ecozin Plus 1.2 ME, Neemix, Molt-X</t>
  </si>
  <si>
    <t>Azera</t>
  </si>
  <si>
    <t>Aztec 4.67G, Aztec HC</t>
  </si>
  <si>
    <t>Baythroid XL</t>
  </si>
  <si>
    <t>Belay, Poncho</t>
  </si>
  <si>
    <t>Beleaf</t>
  </si>
  <si>
    <t>Besiege</t>
  </si>
  <si>
    <t>Bifenture EC, Brigade WSB, Capture LFR, Discipline 2EC, Sniper</t>
  </si>
  <si>
    <t>Biobit HP, DiPel DF, DiPel ES, LEAP ES</t>
  </si>
  <si>
    <t>BioCeres WP</t>
  </si>
  <si>
    <t>Blackhawk, Entrust, Entrust SC, Regard SC</t>
  </si>
  <si>
    <t>BotaniGard ES, BotaniGard MAXX, Mycotrol ESO, Mycotrol WPO</t>
  </si>
  <si>
    <t>Bracket 97, Orthene 97</t>
  </si>
  <si>
    <t>BT NOW</t>
  </si>
  <si>
    <t>Captiva</t>
  </si>
  <si>
    <t>Carbon Defense, Sil-Matrix</t>
  </si>
  <si>
    <t>Celite 610, Deadzone</t>
  </si>
  <si>
    <t>Closer SC, Transform</t>
  </si>
  <si>
    <t>Confirm 2F</t>
  </si>
  <si>
    <t>Coragen</t>
  </si>
  <si>
    <t>Counter 20G</t>
  </si>
  <si>
    <t>Danitol 2.4EC</t>
  </si>
  <si>
    <t>Deadline Bullets, Deadline GT, Deadline M-Ps, Durham 3.5G</t>
  </si>
  <si>
    <t>Deliver</t>
  </si>
  <si>
    <t>Des-X, KOPA, M-Pede</t>
  </si>
  <si>
    <t>Diazinon AG500</t>
  </si>
  <si>
    <t>Diazinon AG600 WBC</t>
  </si>
  <si>
    <t>Dimethoate 2.67</t>
  </si>
  <si>
    <t>Distance, Knack</t>
  </si>
  <si>
    <t>Durivo, Voliam Flexi</t>
  </si>
  <si>
    <t>ECOWORKS EC, Rango, TerraNeem EC, Triact 70, Trilogy</t>
  </si>
  <si>
    <t>Endigo ZC</t>
  </si>
  <si>
    <t>Ethos 3D</t>
  </si>
  <si>
    <t>EverGreen Pro, Pyrenone</t>
  </si>
  <si>
    <t>Exirel, Verimark</t>
  </si>
  <si>
    <t>Force CS, Force Evo, Force 3G, Force 10G HL</t>
  </si>
  <si>
    <t>Fulfill</t>
  </si>
  <si>
    <t>Gemstar LC</t>
  </si>
  <si>
    <t>Gladiator</t>
  </si>
  <si>
    <t>Grandevo</t>
  </si>
  <si>
    <t>Grizzly Too, Lambda-Cy 1EC, Warrior II</t>
  </si>
  <si>
    <t>Harvanta</t>
  </si>
  <si>
    <t>Helicovex</t>
  </si>
  <si>
    <t>Hero, HERO EW, Steed</t>
  </si>
  <si>
    <t>Index, SmartChoice HC</t>
  </si>
  <si>
    <t>JMS Stylet Oil</t>
  </si>
  <si>
    <t>Kanemite 15SC, Shuttle 15SC</t>
  </si>
  <si>
    <t>K-Pam HL, Sectagon K54</t>
  </si>
  <si>
    <t>Lannate LV, Lannate SP, Nudrin LV, Nudrin SP</t>
  </si>
  <si>
    <t>Malathion 5, Malathion 57, Malathion 8</t>
  </si>
  <si>
    <t>MeloCon WG</t>
  </si>
  <si>
    <t>Minecto Pro</t>
  </si>
  <si>
    <t>Mocap 15G</t>
  </si>
  <si>
    <t>Mocap EC</t>
  </si>
  <si>
    <t>Movento, Kontos</t>
  </si>
  <si>
    <t>Mustang Maxx</t>
  </si>
  <si>
    <t>Nealta</t>
  </si>
  <si>
    <t>Nimitz</t>
  </si>
  <si>
    <t>Oberon 2SC</t>
  </si>
  <si>
    <t>Onager Optek, Hexygon</t>
  </si>
  <si>
    <t>Perm-UP 25DF, Perm-Up 3.2EC, Pounce 25 WP</t>
  </si>
  <si>
    <t>PQZ</t>
  </si>
  <si>
    <t>Preferal</t>
  </si>
  <si>
    <t>Proclaim</t>
  </si>
  <si>
    <t>Purespray Green, SuffOil-X, Tri-Trek</t>
  </si>
  <si>
    <t>Pyganic</t>
  </si>
  <si>
    <t>Radiant 1SC</t>
  </si>
  <si>
    <t>Safari 20 SG, Scorpion 35SL, Venom 70SG</t>
  </si>
  <si>
    <t>Sefina Inscalis, Versys Inscalis</t>
  </si>
  <si>
    <t>Sevin 4F, Sevin XLR</t>
  </si>
  <si>
    <t>Sivanto 200, Sivanto Prime</t>
  </si>
  <si>
    <t>Sluggo 1B</t>
  </si>
  <si>
    <t>Surround WP</t>
  </si>
  <si>
    <t>Telone C-17, Telone C-35</t>
  </si>
  <si>
    <t>Telone II, Telone EC</t>
  </si>
  <si>
    <t>Tepera Plus</t>
  </si>
  <si>
    <t>Thimet 20G</t>
  </si>
  <si>
    <t>Tombstone (2EC)</t>
  </si>
  <si>
    <t>Torac</t>
  </si>
  <si>
    <t>Trigard</t>
  </si>
  <si>
    <t>VAPAM HL, Sectagon K42</t>
  </si>
  <si>
    <t>Vydate C-LV, Vydate L</t>
  </si>
  <si>
    <t>XenTari</t>
  </si>
  <si>
    <t>Actigard</t>
  </si>
  <si>
    <t>Agri-Mycin</t>
  </si>
  <si>
    <t>Aprovia Top</t>
  </si>
  <si>
    <t>Botran</t>
  </si>
  <si>
    <t>Bravo, Echo, Equus</t>
  </si>
  <si>
    <t>Cabrio</t>
  </si>
  <si>
    <t>Copper</t>
  </si>
  <si>
    <t>Curzate</t>
  </si>
  <si>
    <t>Dithane, Manzate, Penncozeb</t>
  </si>
  <si>
    <t>Elumin</t>
  </si>
  <si>
    <t>Endura</t>
  </si>
  <si>
    <t>Fontelis</t>
  </si>
  <si>
    <t>Gavel</t>
  </si>
  <si>
    <t>Inspire Super</t>
  </si>
  <si>
    <t>Luna Sensation</t>
  </si>
  <si>
    <t>Luna Tranquility</t>
  </si>
  <si>
    <t>Miravis Prime</t>
  </si>
  <si>
    <t>Orondis Gold</t>
  </si>
  <si>
    <t>Orondis Opti</t>
  </si>
  <si>
    <t>Orondis Ultra</t>
  </si>
  <si>
    <t>Presidio</t>
  </si>
  <si>
    <t>Previcur Flex</t>
  </si>
  <si>
    <t>Priaxor</t>
  </si>
  <si>
    <t>Quadris</t>
  </si>
  <si>
    <t>Quadris Top</t>
  </si>
  <si>
    <t>Ranman</t>
  </si>
  <si>
    <t>Reason</t>
  </si>
  <si>
    <t>Regalia</t>
  </si>
  <si>
    <t>Revus Top</t>
  </si>
  <si>
    <t>Ridomil Gold</t>
  </si>
  <si>
    <t>Scala</t>
  </si>
  <si>
    <t>Switch</t>
  </si>
  <si>
    <t>Tanos</t>
  </si>
  <si>
    <t>Zampro</t>
  </si>
  <si>
    <t>Zing</t>
  </si>
  <si>
    <r>
      <t xml:space="preserve">NOTE: </t>
    </r>
    <r>
      <rPr>
        <sz val="12"/>
        <color theme="1"/>
        <rFont val="Calibri"/>
        <family val="2"/>
        <scheme val="minor"/>
      </rPr>
      <t>Includes links to the Midwest Vegetable Production Guide for herbicide, insecticide, and fungicide recommendations</t>
    </r>
  </si>
  <si>
    <t>Use total costs allocated to each specific crop to determine a per/acre cost.</t>
  </si>
  <si>
    <t>For example: $15,000 fuel pre-paid for 2023 + $5,000 fuel purchased in 2023 - $10,000 fuel pre-paid for 2024 = $10,000 accrued expense</t>
  </si>
  <si>
    <t>This tab contains an optimization tool that will outline what combination of acres will provide the maximum profitability based on the budget information provided on the other tabs.</t>
  </si>
  <si>
    <r>
      <rPr>
        <b/>
        <i/>
        <sz val="12"/>
        <color theme="1"/>
        <rFont val="Calibri"/>
        <family val="2"/>
        <scheme val="minor"/>
      </rPr>
      <t>Note:</t>
    </r>
    <r>
      <rPr>
        <i/>
        <sz val="12"/>
        <color theme="1"/>
        <rFont val="Calibri"/>
        <family val="2"/>
        <scheme val="minor"/>
      </rPr>
      <t xml:space="preserve"> There is a </t>
    </r>
    <r>
      <rPr>
        <b/>
        <i/>
        <sz val="12"/>
        <color theme="1"/>
        <rFont val="Calibri"/>
        <family val="2"/>
        <scheme val="minor"/>
      </rPr>
      <t>Manure Calculator</t>
    </r>
    <r>
      <rPr>
        <i/>
        <sz val="12"/>
        <color theme="1"/>
        <rFont val="Calibri"/>
        <family val="2"/>
        <scheme val="minor"/>
      </rPr>
      <t xml:space="preserve"> to input nutrient analysis values.  The calculator will adjust values based on selected number of days before manure is expected to be incorporated.  Retention factors used to adjust values are based on 2022 MI GAAMPS charts.</t>
    </r>
  </si>
  <si>
    <t>Molybdenum</t>
  </si>
  <si>
    <t>Iron</t>
  </si>
  <si>
    <t>App Units</t>
  </si>
  <si>
    <t>Cu</t>
  </si>
  <si>
    <t>Mo</t>
  </si>
  <si>
    <t>Fe</t>
  </si>
  <si>
    <r>
      <t xml:space="preserve">1st Application </t>
    </r>
    <r>
      <rPr>
        <b/>
        <i/>
        <sz val="12"/>
        <color theme="1"/>
        <rFont val="Calibri"/>
        <family val="2"/>
        <scheme val="minor"/>
      </rPr>
      <t>(i.e., Pre-Plant or Broadcast Fertilizer)</t>
    </r>
  </si>
  <si>
    <r>
      <t xml:space="preserve">2nd Application </t>
    </r>
    <r>
      <rPr>
        <b/>
        <i/>
        <sz val="12"/>
        <color theme="1"/>
        <rFont val="Calibri"/>
        <family val="2"/>
        <scheme val="minor"/>
      </rPr>
      <t>(i.e., Starter Fertilizer or Broadcast)</t>
    </r>
  </si>
  <si>
    <t>1. Note column J is calculated using the units input into Crop Budget (Main) multiplied by Column D4:D6</t>
  </si>
  <si>
    <t>2. Column K indicates that the units produced must be less than or equal to the amount of storage on the farm</t>
  </si>
  <si>
    <t>5. After re-running Solver, the acres will be re-adjusted to maximize the profit of the combined crops.</t>
  </si>
  <si>
    <t>6. After running Solver, the acres will be re-adjusted to maximize the profit of the combined crops.</t>
  </si>
  <si>
    <t>1st Application Cost/Acre</t>
  </si>
  <si>
    <t>2nd Application Cost/Acre</t>
  </si>
  <si>
    <t>Crop Budget Estimator (Vegetables)</t>
  </si>
  <si>
    <t>Sq.ft.</t>
  </si>
  <si>
    <t>Width (ft)</t>
  </si>
  <si>
    <t>Length (ft)</t>
  </si>
  <si>
    <t>x</t>
  </si>
  <si>
    <t>Acre (sq. ft.)</t>
  </si>
  <si>
    <t>÷</t>
  </si>
  <si>
    <t>Number of  Beds</t>
  </si>
  <si>
    <t>Acre (per bed)</t>
  </si>
  <si>
    <t xml:space="preserve">Note: </t>
  </si>
  <si>
    <t>For 30" beds, use 2.5 ft (30" ÷ 12") width</t>
  </si>
  <si>
    <t>for 42" beds, use 3.5 ft (42" ÷ 12") width</t>
  </si>
  <si>
    <t>Spacing Between Beds</t>
  </si>
  <si>
    <t>Width (inches)</t>
  </si>
  <si>
    <t>Length (inches)</t>
  </si>
  <si>
    <t>Adj Raised Bed Width</t>
  </si>
  <si>
    <t>Adj Raised Bed Length</t>
  </si>
  <si>
    <t>Adj Sq.ft.</t>
  </si>
  <si>
    <t>Adj Sq. ft.</t>
  </si>
  <si>
    <t>Total Applied Acres</t>
  </si>
  <si>
    <t>Total Applied Acres Per Bed Crops</t>
  </si>
  <si>
    <t>Note: If number of beds are known, enter "0" in Space Between Beds for width and length.  Width and length of actual beds still needed for final conversion.</t>
  </si>
  <si>
    <r>
      <rPr>
        <b/>
        <sz val="12"/>
        <color theme="1"/>
        <rFont val="Calibri"/>
        <family val="2"/>
        <scheme val="minor"/>
      </rPr>
      <t>NOTE:</t>
    </r>
    <r>
      <rPr>
        <sz val="12"/>
        <color theme="1"/>
        <rFont val="Calibri"/>
        <family val="2"/>
        <scheme val="minor"/>
      </rPr>
      <t xml:space="preserve"> Includes an in-depth comparison of crop nutrient removal vs. nutrients provided by the farm's fertilizer program.</t>
    </r>
  </si>
  <si>
    <t>Crop Budget (Main)</t>
  </si>
  <si>
    <r>
      <rPr>
        <b/>
        <sz val="12"/>
        <color theme="1"/>
        <rFont val="Calibri"/>
        <family val="2"/>
        <scheme val="minor"/>
      </rPr>
      <t># of Raised Beds Per Acre Calculator:</t>
    </r>
    <r>
      <rPr>
        <sz val="12"/>
        <color theme="1"/>
        <rFont val="Calibri"/>
        <family val="2"/>
        <scheme val="minor"/>
      </rPr>
      <t xml:space="preserve"> For farms that utilize raised beds, this calculator helps determine how many beds per acre fit within an acre for planning.  Numbers of beds and their size can then be used to adjust budget values to actual production area used, especially if less than an acre.</t>
    </r>
  </si>
  <si>
    <t>Actual Size of Raised Beds</t>
  </si>
  <si>
    <t>RAISED BEDS PER ACRE CALCULATOR</t>
  </si>
  <si>
    <t>30" Bed</t>
  </si>
  <si>
    <t>100 ft long</t>
  </si>
  <si>
    <t>2.5 ft wide</t>
  </si>
  <si>
    <t>9"</t>
  </si>
  <si>
    <t>18" Spacing</t>
  </si>
  <si>
    <t>Note: Applied acres only accounts for actual area managed for production purposes.</t>
  </si>
  <si>
    <t>Example Diagram of Centered 30" Beds with 18" Spacing Between Beds</t>
  </si>
  <si>
    <t>Area would be 9" Wide x 9" Length</t>
  </si>
  <si>
    <r>
      <t xml:space="preserve">Note:  Spacing between beds should account for walk/drive areas specifically associated to a specific bed. Adjust area calculation according. See example diagram to right of calculator. </t>
    </r>
    <r>
      <rPr>
        <sz val="12"/>
        <color theme="1"/>
        <rFont val="Times New Roman"/>
        <family val="1"/>
      </rPr>
      <t>→</t>
    </r>
  </si>
  <si>
    <t>Planting</t>
  </si>
  <si>
    <t>Weeding</t>
  </si>
  <si>
    <t>Harvest</t>
  </si>
  <si>
    <t>Processing</t>
  </si>
  <si>
    <t>Use the Rate/Acre information on the Chemical List Tab</t>
  </si>
  <si>
    <r>
      <t xml:space="preserve">For use with Step 5 </t>
    </r>
    <r>
      <rPr>
        <u/>
        <sz val="12"/>
        <color theme="1"/>
        <rFont val="Calibri"/>
        <family val="2"/>
        <scheme val="minor"/>
      </rPr>
      <t>(per MSU Bulletin: E-2904)</t>
    </r>
  </si>
  <si>
    <r>
      <t xml:space="preserve">3rd Application </t>
    </r>
    <r>
      <rPr>
        <b/>
        <i/>
        <sz val="12"/>
        <color theme="1"/>
        <rFont val="Calibri"/>
        <family val="2"/>
        <scheme val="minor"/>
      </rPr>
      <t>(i.e., Starter Fertilizer or Broadcast)</t>
    </r>
  </si>
  <si>
    <r>
      <t xml:space="preserve">4th Application </t>
    </r>
    <r>
      <rPr>
        <b/>
        <i/>
        <sz val="12"/>
        <color theme="1"/>
        <rFont val="Calibri"/>
        <family val="2"/>
        <scheme val="minor"/>
      </rPr>
      <t>(i.e., Starter Fertilizer or Broadcast)</t>
    </r>
  </si>
  <si>
    <r>
      <t xml:space="preserve">5th Application </t>
    </r>
    <r>
      <rPr>
        <b/>
        <i/>
        <sz val="12"/>
        <color theme="1"/>
        <rFont val="Calibri"/>
        <family val="2"/>
        <scheme val="minor"/>
      </rPr>
      <t>(i.e., Starter Fertilizer or Broadcast)</t>
    </r>
  </si>
  <si>
    <r>
      <t xml:space="preserve">6th Application </t>
    </r>
    <r>
      <rPr>
        <b/>
        <i/>
        <sz val="12"/>
        <color theme="1"/>
        <rFont val="Calibri"/>
        <family val="2"/>
        <scheme val="minor"/>
      </rPr>
      <t>(i.e., Starter Fertilizer or Broadcast)</t>
    </r>
  </si>
  <si>
    <r>
      <t xml:space="preserve">7th Application </t>
    </r>
    <r>
      <rPr>
        <b/>
        <i/>
        <sz val="12"/>
        <color theme="1"/>
        <rFont val="Calibri"/>
        <family val="2"/>
        <scheme val="minor"/>
      </rPr>
      <t>(i.e., Starter Fertilizer or Broadcast)</t>
    </r>
  </si>
  <si>
    <r>
      <t xml:space="preserve">8th Application </t>
    </r>
    <r>
      <rPr>
        <b/>
        <i/>
        <sz val="12"/>
        <color theme="1"/>
        <rFont val="Calibri"/>
        <family val="2"/>
        <scheme val="minor"/>
      </rPr>
      <t>(i.e., Starter Fertilizer or Broadcast)</t>
    </r>
  </si>
  <si>
    <r>
      <t xml:space="preserve">9th Application </t>
    </r>
    <r>
      <rPr>
        <b/>
        <i/>
        <sz val="12"/>
        <color theme="1"/>
        <rFont val="Calibri"/>
        <family val="2"/>
        <scheme val="minor"/>
      </rPr>
      <t>(i.e., Starter Fertilizer or Broadcast)</t>
    </r>
  </si>
  <si>
    <t>Total Fertilizer Program</t>
  </si>
  <si>
    <t>Total Fertilizer Cost/Acre</t>
  </si>
  <si>
    <t>Raised Bed Calculator</t>
  </si>
  <si>
    <t>Helps to determine how much of an acre is actually used for production when planted in raised beds</t>
  </si>
  <si>
    <t>Template by: Jon LaPorte, Farm Business Management Educator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</si>
</sst>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 numFmtId="167" formatCode="0.0%"/>
    <numFmt numFmtId="168" formatCode="0.00000"/>
  </numFmts>
  <fonts count="87">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color rgb="FFFF0000"/>
      <name val="Calibri"/>
      <family val="2"/>
      <scheme val="minor"/>
    </font>
    <font>
      <b/>
      <sz val="11"/>
      <name val="Calibri"/>
      <family val="2"/>
      <scheme val="minor"/>
    </font>
    <font>
      <b/>
      <sz val="14"/>
      <color theme="1"/>
      <name val="Calibri"/>
      <family val="2"/>
      <scheme val="minor"/>
    </font>
    <font>
      <b/>
      <sz val="16"/>
      <color theme="1"/>
      <name val="Calibri"/>
      <family val="2"/>
      <scheme val="minor"/>
    </font>
    <font>
      <b/>
      <sz val="12"/>
      <name val="Calibri"/>
      <family val="2"/>
      <scheme val="minor"/>
    </font>
    <font>
      <b/>
      <sz val="12"/>
      <color theme="1"/>
      <name val="Calibri"/>
      <family val="2"/>
      <scheme val="minor"/>
    </font>
    <font>
      <sz val="12"/>
      <color rgb="FFFF0000"/>
      <name val="Calibri"/>
      <family val="2"/>
      <scheme val="minor"/>
    </font>
    <font>
      <b/>
      <i/>
      <sz val="12"/>
      <color theme="1"/>
      <name val="Calibri"/>
      <family val="2"/>
      <scheme val="minor"/>
    </font>
    <font>
      <b/>
      <sz val="12"/>
      <color rgb="FFFF0000"/>
      <name val="Calibri"/>
      <family val="2"/>
      <scheme val="minor"/>
    </font>
    <font>
      <sz val="10"/>
      <color theme="1"/>
      <name val="Calibri"/>
      <family val="2"/>
      <scheme val="minor"/>
    </font>
    <font>
      <sz val="14"/>
      <color theme="1"/>
      <name val="Calibri"/>
      <family val="2"/>
      <scheme val="minor"/>
    </font>
    <font>
      <b/>
      <sz val="14"/>
      <name val="Calibri"/>
      <family val="2"/>
      <scheme val="minor"/>
    </font>
    <font>
      <sz val="14"/>
      <color rgb="FFFF0000"/>
      <name val="Calibri"/>
      <family val="2"/>
      <scheme val="minor"/>
    </font>
    <font>
      <sz val="26"/>
      <color theme="1"/>
      <name val="Calibri"/>
      <family val="2"/>
      <scheme val="minor"/>
    </font>
    <font>
      <sz val="14"/>
      <name val="Calibri"/>
      <family val="2"/>
      <scheme val="minor"/>
    </font>
    <font>
      <b/>
      <sz val="20"/>
      <color theme="0"/>
      <name val="Calibri"/>
      <family val="2"/>
      <scheme val="minor"/>
    </font>
    <font>
      <b/>
      <sz val="14"/>
      <color theme="0"/>
      <name val="Calibri"/>
      <family val="2"/>
      <scheme val="minor"/>
    </font>
    <font>
      <sz val="13"/>
      <color rgb="FF191919"/>
      <name val="Georgia"/>
      <family val="1"/>
    </font>
    <font>
      <b/>
      <sz val="16"/>
      <color theme="0"/>
      <name val="Calibri"/>
      <family val="2"/>
      <scheme val="minor"/>
    </font>
    <font>
      <sz val="12"/>
      <name val="Calibri"/>
      <family val="2"/>
      <scheme val="minor"/>
    </font>
    <font>
      <b/>
      <sz val="12"/>
      <color theme="0"/>
      <name val="Calibri"/>
      <family val="2"/>
      <scheme val="minor"/>
    </font>
    <font>
      <sz val="11"/>
      <name val="Calibri"/>
      <family val="2"/>
      <scheme val="minor"/>
    </font>
    <font>
      <sz val="11"/>
      <color theme="4" tint="-0.249977111117893"/>
      <name val="Calibri"/>
      <family val="2"/>
      <scheme val="minor"/>
    </font>
    <font>
      <sz val="10"/>
      <color rgb="FFFF0000"/>
      <name val="Calibri"/>
      <family val="2"/>
      <scheme val="minor"/>
    </font>
    <font>
      <i/>
      <sz val="12"/>
      <color theme="1"/>
      <name val="Calibri"/>
      <family val="2"/>
      <scheme val="minor"/>
    </font>
    <font>
      <sz val="12"/>
      <color theme="4" tint="-0.249977111117893"/>
      <name val="Calibri"/>
      <family val="2"/>
      <scheme val="minor"/>
    </font>
    <font>
      <sz val="8"/>
      <color theme="4" tint="-0.249977111117893"/>
      <name val="Calibri"/>
      <family val="2"/>
      <scheme val="minor"/>
    </font>
    <font>
      <b/>
      <sz val="12"/>
      <color theme="4" tint="-0.249977111117893"/>
      <name val="Calibri"/>
      <family val="2"/>
      <scheme val="minor"/>
    </font>
    <font>
      <b/>
      <sz val="11"/>
      <color theme="4" tint="-0.249977111117893"/>
      <name val="Calibri"/>
      <family val="2"/>
      <scheme val="minor"/>
    </font>
    <font>
      <b/>
      <i/>
      <sz val="12"/>
      <name val="Calibri"/>
      <family val="2"/>
      <scheme val="minor"/>
    </font>
    <font>
      <sz val="10"/>
      <color theme="4" tint="-0.249977111117893"/>
      <name val="Calibri"/>
      <family val="2"/>
      <scheme val="minor"/>
    </font>
    <font>
      <b/>
      <sz val="18"/>
      <color theme="0"/>
      <name val="Calibri"/>
      <family val="2"/>
      <scheme val="minor"/>
    </font>
    <font>
      <sz val="14"/>
      <color theme="6" tint="0.59999389629810485"/>
      <name val="Calibri"/>
      <family val="2"/>
      <scheme val="minor"/>
    </font>
    <font>
      <i/>
      <sz val="12"/>
      <name val="Calibri"/>
      <family val="2"/>
      <scheme val="minor"/>
    </font>
    <font>
      <b/>
      <i/>
      <sz val="12"/>
      <color theme="4" tint="-0.249977111117893"/>
      <name val="Calibri"/>
      <family val="2"/>
      <scheme val="minor"/>
    </font>
    <font>
      <b/>
      <sz val="12"/>
      <color theme="9" tint="-0.249977111117893"/>
      <name val="Calibri"/>
      <family val="2"/>
      <scheme val="minor"/>
    </font>
    <font>
      <b/>
      <u/>
      <sz val="12"/>
      <color theme="1"/>
      <name val="Calibri"/>
      <family val="2"/>
      <scheme val="minor"/>
    </font>
    <font>
      <b/>
      <u/>
      <sz val="12"/>
      <color theme="4" tint="-0.249977111117893"/>
      <name val="Calibri"/>
      <family val="2"/>
      <scheme val="minor"/>
    </font>
    <font>
      <sz val="20"/>
      <color theme="1"/>
      <name val="Calibri"/>
      <family val="2"/>
      <scheme val="minor"/>
    </font>
    <font>
      <b/>
      <i/>
      <sz val="10"/>
      <color theme="4" tint="-0.249977111117893"/>
      <name val="Calibri"/>
      <family val="2"/>
      <scheme val="minor"/>
    </font>
    <font>
      <b/>
      <i/>
      <sz val="12"/>
      <color theme="9" tint="-0.249977111117893"/>
      <name val="Calibri"/>
      <family val="2"/>
      <scheme val="minor"/>
    </font>
    <font>
      <b/>
      <sz val="28"/>
      <color rgb="FF0DB14B"/>
      <name val="Symbol"/>
      <family val="1"/>
      <charset val="2"/>
    </font>
    <font>
      <b/>
      <sz val="12"/>
      <color rgb="FF0DB14B"/>
      <name val="Calibri"/>
      <family val="2"/>
      <scheme val="minor"/>
    </font>
    <font>
      <u/>
      <sz val="11"/>
      <color theme="10"/>
      <name val="Calibri"/>
      <family val="2"/>
      <scheme val="minor"/>
    </font>
    <font>
      <b/>
      <i/>
      <sz val="11"/>
      <color rgb="FFFF0000"/>
      <name val="Calibri"/>
      <family val="2"/>
      <scheme val="minor"/>
    </font>
    <font>
      <b/>
      <i/>
      <sz val="12"/>
      <color rgb="FF18453B"/>
      <name val="Calibri"/>
      <family val="2"/>
      <scheme val="minor"/>
    </font>
    <font>
      <b/>
      <i/>
      <sz val="10"/>
      <color rgb="FF18453B"/>
      <name val="Calibri"/>
      <family val="2"/>
      <scheme val="minor"/>
    </font>
    <font>
      <i/>
      <sz val="12"/>
      <color rgb="FF18453B"/>
      <name val="Calibri"/>
      <family val="2"/>
      <scheme val="minor"/>
    </font>
    <font>
      <i/>
      <sz val="10"/>
      <color rgb="FF18453B"/>
      <name val="Calibri"/>
      <family val="2"/>
      <scheme val="minor"/>
    </font>
    <font>
      <b/>
      <sz val="11"/>
      <color theme="4"/>
      <name val="Calibri"/>
      <family val="2"/>
      <scheme val="minor"/>
    </font>
    <font>
      <b/>
      <i/>
      <sz val="12"/>
      <color theme="0"/>
      <name val="Calibri"/>
      <family val="2"/>
      <scheme val="minor"/>
    </font>
    <font>
      <b/>
      <sz val="14"/>
      <color theme="4" tint="-0.249977111117893"/>
      <name val="Calibri"/>
      <family val="2"/>
      <scheme val="minor"/>
    </font>
    <font>
      <sz val="14"/>
      <color theme="4" tint="-0.249977111117893"/>
      <name val="Calibri"/>
      <family val="2"/>
      <scheme val="minor"/>
    </font>
    <font>
      <i/>
      <sz val="14"/>
      <color theme="1"/>
      <name val="Calibri"/>
      <family val="2"/>
      <scheme val="minor"/>
    </font>
    <font>
      <i/>
      <sz val="14"/>
      <name val="Calibri"/>
      <family val="2"/>
      <scheme val="minor"/>
    </font>
    <font>
      <b/>
      <i/>
      <sz val="14"/>
      <color rgb="FF18453B"/>
      <name val="Calibri"/>
      <family val="2"/>
      <scheme val="minor"/>
    </font>
    <font>
      <b/>
      <i/>
      <sz val="14"/>
      <color theme="1"/>
      <name val="Calibri"/>
      <family val="2"/>
      <scheme val="minor"/>
    </font>
    <font>
      <sz val="12"/>
      <color theme="1"/>
      <name val="Calibri"/>
      <family val="1"/>
      <charset val="2"/>
      <scheme val="minor"/>
    </font>
    <font>
      <sz val="12"/>
      <color theme="1"/>
      <name val="Symbol"/>
      <family val="1"/>
      <charset val="2"/>
    </font>
    <font>
      <sz val="12"/>
      <color theme="1"/>
      <name val="Calibri"/>
      <family val="2"/>
    </font>
    <font>
      <u/>
      <sz val="12"/>
      <color theme="10"/>
      <name val="Calibri"/>
      <family val="2"/>
      <scheme val="minor"/>
    </font>
    <font>
      <b/>
      <sz val="14"/>
      <color rgb="FF0DB14B"/>
      <name val="Calibri"/>
      <family val="2"/>
      <scheme val="minor"/>
    </font>
    <font>
      <b/>
      <sz val="14"/>
      <color rgb="FF0DB14B"/>
      <name val="Symbol"/>
      <family val="1"/>
      <charset val="2"/>
    </font>
    <font>
      <sz val="8"/>
      <name val="Calibri"/>
      <family val="2"/>
      <scheme val="minor"/>
    </font>
    <font>
      <b/>
      <sz val="11"/>
      <color theme="0"/>
      <name val="Calibri"/>
      <family val="2"/>
      <scheme val="minor"/>
    </font>
    <font>
      <b/>
      <sz val="10"/>
      <color theme="1"/>
      <name val="Calibri"/>
      <family val="2"/>
      <scheme val="minor"/>
    </font>
    <font>
      <b/>
      <sz val="12"/>
      <color rgb="FF0070C0"/>
      <name val="Calibri"/>
      <family val="2"/>
      <scheme val="minor"/>
    </font>
    <font>
      <i/>
      <sz val="11"/>
      <color theme="1"/>
      <name val="Calibri"/>
      <family val="2"/>
      <scheme val="minor"/>
    </font>
    <font>
      <i/>
      <sz val="11"/>
      <name val="Calibri"/>
      <family val="2"/>
      <scheme val="minor"/>
    </font>
    <font>
      <b/>
      <sz val="12"/>
      <color rgb="FF0DB14B"/>
      <name val="Symbol"/>
      <family val="1"/>
      <charset val="2"/>
    </font>
    <font>
      <sz val="20"/>
      <color theme="0"/>
      <name val="Calibri"/>
      <family val="2"/>
      <scheme val="minor"/>
    </font>
    <font>
      <b/>
      <sz val="22"/>
      <color theme="0"/>
      <name val="Calibri"/>
      <family val="2"/>
      <scheme val="minor"/>
    </font>
    <font>
      <b/>
      <sz val="12"/>
      <color rgb="FF18453B"/>
      <name val="Calibri"/>
      <family val="2"/>
      <scheme val="minor"/>
    </font>
    <font>
      <u/>
      <sz val="14"/>
      <color theme="1"/>
      <name val="Calibri"/>
      <family val="2"/>
      <scheme val="minor"/>
    </font>
    <font>
      <u/>
      <sz val="12"/>
      <color theme="1"/>
      <name val="Calibri"/>
      <family val="2"/>
      <scheme val="minor"/>
    </font>
    <font>
      <b/>
      <u/>
      <sz val="14"/>
      <color theme="1"/>
      <name val="Calibri"/>
      <family val="2"/>
      <scheme val="minor"/>
    </font>
    <font>
      <u/>
      <sz val="14"/>
      <color theme="10"/>
      <name val="Calibri"/>
      <family val="2"/>
      <scheme val="minor"/>
    </font>
    <font>
      <sz val="10"/>
      <color theme="1"/>
      <name val="Calibri"/>
      <family val="2"/>
    </font>
    <font>
      <b/>
      <u/>
      <sz val="11"/>
      <color theme="1"/>
      <name val="Calibri"/>
      <family val="2"/>
      <scheme val="minor"/>
    </font>
    <font>
      <sz val="10"/>
      <name val="Calibri"/>
      <family val="2"/>
      <scheme val="minor"/>
    </font>
    <font>
      <b/>
      <sz val="14"/>
      <color theme="1"/>
      <name val="Calibri"/>
      <family val="2"/>
    </font>
    <font>
      <sz val="12"/>
      <color theme="1"/>
      <name val="Times New Roman"/>
      <family val="1"/>
    </font>
  </fonts>
  <fills count="20">
    <fill>
      <patternFill patternType="none"/>
    </fill>
    <fill>
      <patternFill patternType="gray125"/>
    </fill>
    <fill>
      <patternFill patternType="solid">
        <fgColor theme="9"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0DB14B"/>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rgb="FF0070C0"/>
        <bgColor indexed="64"/>
      </patternFill>
    </fill>
    <fill>
      <patternFill patternType="solid">
        <fgColor rgb="FF18453B"/>
        <bgColor indexed="64"/>
      </patternFill>
    </fill>
    <fill>
      <patternFill patternType="solid">
        <fgColor rgb="FF7030A0"/>
        <bgColor indexed="64"/>
      </patternFill>
    </fill>
    <fill>
      <patternFill patternType="solid">
        <fgColor rgb="FF00B05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39997558519241921"/>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48" fillId="0" borderId="0" applyNumberFormat="0" applyFill="0" applyBorder="0" applyAlignment="0" applyProtection="0"/>
  </cellStyleXfs>
  <cellXfs count="1066">
    <xf numFmtId="0" fontId="0" fillId="0" borderId="0" xfId="0"/>
    <xf numFmtId="44" fontId="0" fillId="0" borderId="0" xfId="0" applyNumberFormat="1"/>
    <xf numFmtId="0" fontId="4" fillId="0" borderId="0" xfId="0" applyFont="1"/>
    <xf numFmtId="2" fontId="0" fillId="0" borderId="0" xfId="0" applyNumberFormat="1"/>
    <xf numFmtId="0" fontId="0" fillId="0" borderId="0" xfId="0" applyAlignment="1">
      <alignment horizontal="center"/>
    </xf>
    <xf numFmtId="49" fontId="0" fillId="0" borderId="0" xfId="0" applyNumberFormat="1" applyAlignment="1">
      <alignment horizontal="center"/>
    </xf>
    <xf numFmtId="0" fontId="0" fillId="0" borderId="0" xfId="0" applyProtection="1">
      <protection locked="0"/>
    </xf>
    <xf numFmtId="0" fontId="0" fillId="0" borderId="5" xfId="0" applyBorder="1"/>
    <xf numFmtId="0" fontId="11" fillId="0" borderId="0" xfId="0" applyFont="1" applyAlignment="1">
      <alignment horizontal="center"/>
    </xf>
    <xf numFmtId="0" fontId="6" fillId="0" borderId="0" xfId="0" applyFont="1" applyProtection="1">
      <protection locked="0"/>
    </xf>
    <xf numFmtId="0" fontId="26" fillId="0" borderId="0" xfId="0" applyFont="1" applyProtection="1">
      <protection locked="0"/>
    </xf>
    <xf numFmtId="0" fontId="7" fillId="0" borderId="0" xfId="0" applyFont="1" applyAlignment="1" applyProtection="1">
      <alignment horizontal="center"/>
      <protection locked="0"/>
    </xf>
    <xf numFmtId="0" fontId="15" fillId="0" borderId="0" xfId="0" applyFont="1" applyAlignment="1" applyProtection="1">
      <alignment horizontal="center"/>
      <protection locked="0"/>
    </xf>
    <xf numFmtId="0" fontId="15" fillId="0" borderId="0" xfId="0" applyFont="1" applyAlignment="1" applyProtection="1">
      <alignment horizontal="right"/>
      <protection locked="0"/>
    </xf>
    <xf numFmtId="44" fontId="4" fillId="0" borderId="0" xfId="1" applyFont="1" applyFill="1" applyBorder="1" applyAlignment="1" applyProtection="1">
      <alignment horizontal="center"/>
      <protection locked="0"/>
    </xf>
    <xf numFmtId="44" fontId="4" fillId="0" borderId="0" xfId="1" applyFont="1" applyFill="1" applyBorder="1" applyAlignment="1" applyProtection="1">
      <alignment horizontal="right"/>
      <protection locked="0"/>
    </xf>
    <xf numFmtId="0" fontId="4" fillId="0" borderId="0" xfId="0" applyFont="1" applyAlignment="1" applyProtection="1">
      <alignment horizontal="center"/>
      <protection locked="0"/>
    </xf>
    <xf numFmtId="0" fontId="0" fillId="0" borderId="0" xfId="0" applyAlignment="1" applyProtection="1">
      <alignment horizontal="center"/>
      <protection locked="0"/>
    </xf>
    <xf numFmtId="0" fontId="4" fillId="0" borderId="4" xfId="0" applyFont="1" applyBorder="1"/>
    <xf numFmtId="0" fontId="4" fillId="0" borderId="0" xfId="0" applyFont="1" applyAlignment="1">
      <alignment horizontal="left"/>
    </xf>
    <xf numFmtId="0" fontId="6" fillId="0" borderId="31" xfId="0" applyFont="1" applyBorder="1" applyAlignment="1">
      <alignment horizontal="center"/>
    </xf>
    <xf numFmtId="44" fontId="10" fillId="0" borderId="31" xfId="1" applyFont="1" applyFill="1" applyBorder="1" applyProtection="1"/>
    <xf numFmtId="44" fontId="10" fillId="0" borderId="30" xfId="1" applyFont="1" applyFill="1" applyBorder="1" applyProtection="1"/>
    <xf numFmtId="0" fontId="14" fillId="0" borderId="4" xfId="0" applyFont="1" applyBorder="1" applyAlignment="1">
      <alignment horizontal="left" indent="3"/>
    </xf>
    <xf numFmtId="0" fontId="4" fillId="0" borderId="12" xfId="0" applyFont="1" applyBorder="1"/>
    <xf numFmtId="0" fontId="4" fillId="0" borderId="13" xfId="0" applyFont="1" applyBorder="1" applyAlignment="1">
      <alignment horizontal="left"/>
    </xf>
    <xf numFmtId="0" fontId="0" fillId="0" borderId="6" xfId="0" applyBorder="1"/>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13" fillId="0" borderId="4" xfId="0" applyFont="1" applyBorder="1" applyAlignment="1">
      <alignment horizontal="center"/>
    </xf>
    <xf numFmtId="0" fontId="13" fillId="0" borderId="0" xfId="0" applyFont="1" applyAlignment="1">
      <alignment horizontal="center"/>
    </xf>
    <xf numFmtId="44" fontId="4" fillId="0" borderId="0" xfId="1" applyFont="1" applyFill="1" applyBorder="1" applyAlignment="1" applyProtection="1">
      <alignment horizontal="center"/>
    </xf>
    <xf numFmtId="44" fontId="13" fillId="0" borderId="0" xfId="1" applyFont="1" applyFill="1" applyBorder="1" applyAlignment="1" applyProtection="1">
      <alignment horizontal="right"/>
    </xf>
    <xf numFmtId="0" fontId="4" fillId="0" borderId="0" xfId="1" applyNumberFormat="1" applyFont="1" applyFill="1" applyBorder="1" applyAlignment="1" applyProtection="1">
      <alignment horizontal="center"/>
    </xf>
    <xf numFmtId="2" fontId="11" fillId="0" borderId="0" xfId="0" applyNumberFormat="1" applyFont="1" applyAlignment="1">
      <alignment horizontal="right"/>
    </xf>
    <xf numFmtId="44" fontId="4" fillId="0" borderId="5" xfId="1" applyFont="1" applyFill="1" applyBorder="1" applyAlignment="1" applyProtection="1">
      <alignment horizontal="right"/>
    </xf>
    <xf numFmtId="44" fontId="4" fillId="0" borderId="0" xfId="1" applyFont="1" applyFill="1" applyBorder="1" applyAlignment="1" applyProtection="1">
      <alignment horizontal="right"/>
    </xf>
    <xf numFmtId="0" fontId="13" fillId="0" borderId="4" xfId="0" applyFont="1" applyBorder="1" applyAlignment="1">
      <alignment horizontal="right"/>
    </xf>
    <xf numFmtId="0" fontId="13" fillId="0" borderId="0" xfId="0" applyFont="1" applyAlignment="1">
      <alignment horizontal="right"/>
    </xf>
    <xf numFmtId="0" fontId="4" fillId="0" borderId="0" xfId="0" applyFont="1" applyAlignment="1">
      <alignment horizontal="right"/>
    </xf>
    <xf numFmtId="0" fontId="11" fillId="0" borderId="0" xfId="0" applyFont="1" applyAlignment="1">
      <alignment horizontal="right"/>
    </xf>
    <xf numFmtId="2" fontId="11" fillId="0" borderId="0" xfId="1" applyNumberFormat="1" applyFont="1" applyFill="1" applyBorder="1" applyAlignment="1" applyProtection="1">
      <alignment horizontal="right"/>
    </xf>
    <xf numFmtId="44" fontId="32" fillId="0" borderId="0" xfId="1" applyFont="1" applyFill="1" applyBorder="1" applyAlignment="1" applyProtection="1">
      <alignment horizontal="right"/>
    </xf>
    <xf numFmtId="2" fontId="30" fillId="0" borderId="0" xfId="0" applyNumberFormat="1" applyFont="1" applyAlignment="1">
      <alignment horizontal="right"/>
    </xf>
    <xf numFmtId="1" fontId="10" fillId="0" borderId="4" xfId="0" applyNumberFormat="1" applyFont="1" applyBorder="1" applyAlignment="1">
      <alignment horizontal="center"/>
    </xf>
    <xf numFmtId="1" fontId="10" fillId="0" borderId="0" xfId="0" applyNumberFormat="1" applyFont="1" applyAlignment="1">
      <alignment horizontal="center"/>
    </xf>
    <xf numFmtId="0" fontId="4" fillId="0" borderId="0" xfId="0" applyFont="1" applyAlignment="1">
      <alignment horizontal="center"/>
    </xf>
    <xf numFmtId="0" fontId="4" fillId="0" borderId="5" xfId="0" applyFont="1" applyBorder="1"/>
    <xf numFmtId="0" fontId="18" fillId="0" borderId="0" xfId="0" applyFont="1" applyProtection="1">
      <protection locked="0"/>
    </xf>
    <xf numFmtId="0" fontId="4" fillId="0" borderId="0" xfId="0" applyFont="1" applyProtection="1">
      <protection locked="0"/>
    </xf>
    <xf numFmtId="0" fontId="10" fillId="0" borderId="0" xfId="0" applyFont="1" applyAlignment="1">
      <alignment horizontal="center"/>
    </xf>
    <xf numFmtId="2" fontId="10" fillId="0" borderId="0" xfId="0" applyNumberFormat="1" applyFont="1" applyAlignment="1">
      <alignment horizontal="center"/>
    </xf>
    <xf numFmtId="8" fontId="0" fillId="0" borderId="0" xfId="0" applyNumberFormat="1" applyProtection="1">
      <protection locked="0"/>
    </xf>
    <xf numFmtId="0" fontId="3" fillId="0" borderId="0" xfId="0" applyFont="1"/>
    <xf numFmtId="0" fontId="0" fillId="0" borderId="4" xfId="0" applyBorder="1"/>
    <xf numFmtId="8" fontId="0" fillId="0" borderId="0" xfId="0" applyNumberFormat="1"/>
    <xf numFmtId="0" fontId="0" fillId="0" borderId="13" xfId="0" applyBorder="1"/>
    <xf numFmtId="0" fontId="0" fillId="0" borderId="12" xfId="0" applyBorder="1"/>
    <xf numFmtId="0" fontId="26" fillId="0" borderId="0" xfId="0" applyFont="1"/>
    <xf numFmtId="0" fontId="3" fillId="0" borderId="8" xfId="0" applyFont="1" applyBorder="1" applyAlignment="1">
      <alignment horizontal="center"/>
    </xf>
    <xf numFmtId="8" fontId="9" fillId="0" borderId="0" xfId="1" applyNumberFormat="1" applyFont="1" applyFill="1" applyBorder="1" applyAlignment="1" applyProtection="1">
      <alignment horizontal="center"/>
    </xf>
    <xf numFmtId="0" fontId="5" fillId="0" borderId="0" xfId="0" applyFont="1" applyAlignment="1">
      <alignment horizontal="center"/>
    </xf>
    <xf numFmtId="44" fontId="4" fillId="0" borderId="0" xfId="1" applyFont="1" applyFill="1" applyBorder="1" applyProtection="1"/>
    <xf numFmtId="8" fontId="9" fillId="0" borderId="0" xfId="0" applyNumberFormat="1" applyFont="1" applyAlignment="1">
      <alignment horizontal="center"/>
    </xf>
    <xf numFmtId="2" fontId="35" fillId="0" borderId="0" xfId="0" applyNumberFormat="1" applyFont="1" applyAlignment="1" applyProtection="1">
      <alignment horizontal="right"/>
      <protection locked="0"/>
    </xf>
    <xf numFmtId="2" fontId="35" fillId="0" borderId="0" xfId="0" applyNumberFormat="1" applyFont="1" applyAlignment="1" applyProtection="1">
      <alignment horizontal="center"/>
      <protection locked="0"/>
    </xf>
    <xf numFmtId="2" fontId="35" fillId="0" borderId="0" xfId="0" applyNumberFormat="1" applyFont="1" applyAlignment="1">
      <alignment horizontal="center"/>
    </xf>
    <xf numFmtId="49" fontId="3" fillId="0" borderId="0" xfId="0" applyNumberFormat="1" applyFont="1" applyAlignment="1">
      <alignment horizontal="center"/>
    </xf>
    <xf numFmtId="2" fontId="0" fillId="0" borderId="0" xfId="0" applyNumberFormat="1" applyAlignment="1">
      <alignment horizontal="center"/>
    </xf>
    <xf numFmtId="166" fontId="3" fillId="0" borderId="0" xfId="0" applyNumberFormat="1" applyFont="1" applyAlignment="1">
      <alignment horizontal="center"/>
    </xf>
    <xf numFmtId="166" fontId="0" fillId="0" borderId="0" xfId="0" applyNumberFormat="1"/>
    <xf numFmtId="0" fontId="19" fillId="0" borderId="19"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6" fillId="0" borderId="0" xfId="0" applyFont="1" applyAlignment="1" applyProtection="1">
      <alignment horizontal="center"/>
      <protection locked="0"/>
    </xf>
    <xf numFmtId="0" fontId="16" fillId="0" borderId="18" xfId="0" applyFont="1" applyBorder="1" applyAlignment="1" applyProtection="1">
      <alignment horizontal="center"/>
      <protection locked="0"/>
    </xf>
    <xf numFmtId="0" fontId="15" fillId="0" borderId="19"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16" fillId="0" borderId="21" xfId="0" applyFont="1" applyBorder="1" applyAlignment="1" applyProtection="1">
      <alignment horizontal="center"/>
      <protection locked="0"/>
    </xf>
    <xf numFmtId="0" fontId="16" fillId="0" borderId="9" xfId="0" applyFont="1" applyBorder="1" applyAlignment="1" applyProtection="1">
      <alignment horizontal="center"/>
      <protection locked="0"/>
    </xf>
    <xf numFmtId="2" fontId="7" fillId="0" borderId="0" xfId="0" applyNumberFormat="1" applyFont="1" applyAlignment="1" applyProtection="1">
      <alignment horizontal="center"/>
      <protection locked="0"/>
    </xf>
    <xf numFmtId="2" fontId="7" fillId="0" borderId="18" xfId="0" applyNumberFormat="1" applyFont="1" applyBorder="1" applyAlignment="1" applyProtection="1">
      <alignment horizontal="center"/>
      <protection locked="0"/>
    </xf>
    <xf numFmtId="2" fontId="7" fillId="0" borderId="19" xfId="0" applyNumberFormat="1" applyFont="1" applyBorder="1" applyAlignment="1" applyProtection="1">
      <alignment horizontal="center"/>
      <protection locked="0"/>
    </xf>
    <xf numFmtId="9" fontId="10" fillId="0" borderId="18" xfId="0" applyNumberFormat="1" applyFont="1" applyBorder="1" applyAlignment="1">
      <alignment horizontal="center"/>
    </xf>
    <xf numFmtId="0" fontId="4" fillId="0" borderId="18" xfId="0" applyFont="1" applyBorder="1" applyAlignment="1">
      <alignment horizontal="center"/>
    </xf>
    <xf numFmtId="2" fontId="10" fillId="0" borderId="19" xfId="0" applyNumberFormat="1" applyFont="1" applyBorder="1" applyAlignment="1">
      <alignment horizontal="center"/>
    </xf>
    <xf numFmtId="2" fontId="10" fillId="0" borderId="5" xfId="0" applyNumberFormat="1" applyFont="1" applyBorder="1" applyAlignment="1">
      <alignment horizontal="center"/>
    </xf>
    <xf numFmtId="2" fontId="10" fillId="0" borderId="18" xfId="0" applyNumberFormat="1" applyFont="1" applyBorder="1" applyAlignment="1">
      <alignment horizontal="center"/>
    </xf>
    <xf numFmtId="0" fontId="10" fillId="0" borderId="4" xfId="0" applyFont="1" applyBorder="1"/>
    <xf numFmtId="0" fontId="24" fillId="0" borderId="0" xfId="0" applyFont="1" applyAlignment="1">
      <alignment horizontal="center"/>
    </xf>
    <xf numFmtId="0" fontId="9" fillId="0" borderId="0" xfId="0" applyFont="1" applyAlignment="1">
      <alignment horizontal="center"/>
    </xf>
    <xf numFmtId="0" fontId="4" fillId="0" borderId="5" xfId="0" applyFont="1" applyBorder="1" applyAlignment="1">
      <alignment horizontal="center"/>
    </xf>
    <xf numFmtId="0" fontId="10" fillId="0" borderId="4" xfId="0" applyFont="1" applyBorder="1" applyAlignment="1">
      <alignment horizontal="left"/>
    </xf>
    <xf numFmtId="9" fontId="10" fillId="0" borderId="0" xfId="0" applyNumberFormat="1" applyFont="1" applyAlignment="1">
      <alignment horizontal="center"/>
    </xf>
    <xf numFmtId="0" fontId="4" fillId="0" borderId="13" xfId="0" applyFont="1" applyBorder="1"/>
    <xf numFmtId="0" fontId="4" fillId="0" borderId="6" xfId="0" applyFont="1" applyBorder="1"/>
    <xf numFmtId="0" fontId="35" fillId="0" borderId="0" xfId="0" applyFont="1" applyAlignment="1">
      <alignment horizontal="center"/>
    </xf>
    <xf numFmtId="0" fontId="10" fillId="0" borderId="7" xfId="0" applyFont="1" applyBorder="1" applyAlignment="1">
      <alignment horizontal="center" vertical="center"/>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4" fillId="0" borderId="0" xfId="0" applyFont="1" applyAlignment="1">
      <alignment horizontal="center" vertical="center"/>
    </xf>
    <xf numFmtId="0" fontId="12" fillId="0" borderId="4" xfId="0" applyFont="1" applyBorder="1" applyAlignment="1">
      <alignment horizontal="center"/>
    </xf>
    <xf numFmtId="0" fontId="12" fillId="0" borderId="0" xfId="0" applyFont="1" applyAlignment="1">
      <alignment horizontal="center"/>
    </xf>
    <xf numFmtId="2" fontId="30" fillId="0" borderId="0" xfId="0" applyNumberFormat="1" applyFont="1" applyAlignment="1">
      <alignment horizontal="center"/>
    </xf>
    <xf numFmtId="0" fontId="4" fillId="0" borderId="5" xfId="0" applyFont="1" applyBorder="1" applyAlignment="1">
      <alignment horizontal="center" vertical="center"/>
    </xf>
    <xf numFmtId="0" fontId="4" fillId="0" borderId="0" xfId="0" applyFont="1" applyAlignment="1" applyProtection="1">
      <alignment horizontal="center" vertical="center"/>
      <protection locked="0"/>
    </xf>
    <xf numFmtId="44" fontId="30" fillId="0" borderId="0" xfId="1" applyFont="1" applyFill="1" applyBorder="1" applyAlignment="1" applyProtection="1">
      <alignment horizontal="right"/>
    </xf>
    <xf numFmtId="2" fontId="30" fillId="0" borderId="0" xfId="1" applyNumberFormat="1" applyFont="1" applyFill="1" applyBorder="1" applyAlignment="1" applyProtection="1">
      <alignment horizontal="right"/>
    </xf>
    <xf numFmtId="0" fontId="24" fillId="0" borderId="0" xfId="0" applyFont="1" applyAlignment="1">
      <alignment horizontal="right"/>
    </xf>
    <xf numFmtId="0" fontId="12" fillId="0" borderId="4" xfId="0" applyFont="1" applyBorder="1" applyAlignment="1" applyProtection="1">
      <alignment horizontal="center"/>
      <protection locked="0"/>
    </xf>
    <xf numFmtId="0" fontId="40" fillId="0" borderId="0" xfId="0" applyFont="1" applyAlignment="1">
      <alignment horizontal="center"/>
    </xf>
    <xf numFmtId="44" fontId="10" fillId="0" borderId="0" xfId="0" applyNumberFormat="1" applyFont="1" applyProtection="1">
      <protection locked="0"/>
    </xf>
    <xf numFmtId="44" fontId="10" fillId="0" borderId="0" xfId="0" applyNumberFormat="1" applyFont="1"/>
    <xf numFmtId="0" fontId="10" fillId="0" borderId="0" xfId="0" applyFont="1" applyAlignment="1">
      <alignment horizontal="left"/>
    </xf>
    <xf numFmtId="0" fontId="41" fillId="0" borderId="0" xfId="0" applyFont="1"/>
    <xf numFmtId="0" fontId="41" fillId="0" borderId="0" xfId="0" applyFont="1" applyAlignment="1">
      <alignment horizontal="center"/>
    </xf>
    <xf numFmtId="44" fontId="10" fillId="0" borderId="5" xfId="0" applyNumberFormat="1" applyFont="1" applyBorder="1"/>
    <xf numFmtId="0" fontId="4" fillId="0" borderId="13" xfId="0" applyFont="1" applyBorder="1" applyAlignment="1">
      <alignment horizontal="center"/>
    </xf>
    <xf numFmtId="0" fontId="20" fillId="0" borderId="0" xfId="0" applyFont="1" applyAlignment="1">
      <alignment horizontal="center"/>
    </xf>
    <xf numFmtId="0" fontId="43" fillId="0" borderId="0" xfId="0" applyFont="1"/>
    <xf numFmtId="2" fontId="28" fillId="0" borderId="0" xfId="0" applyNumberFormat="1" applyFont="1" applyAlignment="1" applyProtection="1">
      <alignment horizontal="center"/>
      <protection locked="0"/>
    </xf>
    <xf numFmtId="2" fontId="28" fillId="0" borderId="0" xfId="0" applyNumberFormat="1" applyFont="1" applyAlignment="1">
      <alignment horizontal="center"/>
    </xf>
    <xf numFmtId="0" fontId="14" fillId="0" borderId="0" xfId="0" applyFont="1" applyAlignment="1" applyProtection="1">
      <alignment horizontal="right"/>
      <protection locked="0"/>
    </xf>
    <xf numFmtId="0" fontId="21" fillId="0" borderId="0" xfId="0" applyFont="1" applyAlignment="1">
      <alignment horizontal="center" vertical="center"/>
    </xf>
    <xf numFmtId="0" fontId="14" fillId="0" borderId="0" xfId="0" applyFont="1" applyAlignment="1" applyProtection="1">
      <alignment horizontal="left" indent="3"/>
      <protection locked="0"/>
    </xf>
    <xf numFmtId="0" fontId="10" fillId="0" borderId="5" xfId="0" applyFont="1" applyBorder="1" applyAlignment="1">
      <alignment horizontal="center"/>
    </xf>
    <xf numFmtId="0" fontId="6" fillId="0" borderId="0" xfId="0" applyFont="1" applyAlignment="1" applyProtection="1">
      <alignment horizontal="center"/>
      <protection locked="0"/>
    </xf>
    <xf numFmtId="0" fontId="6" fillId="0" borderId="0" xfId="0" applyFont="1" applyAlignment="1">
      <alignment horizontal="center"/>
    </xf>
    <xf numFmtId="0" fontId="6" fillId="0" borderId="38" xfId="0" applyFont="1" applyBorder="1" applyAlignment="1">
      <alignment horizontal="center"/>
    </xf>
    <xf numFmtId="44" fontId="10" fillId="0" borderId="38" xfId="1" applyFont="1" applyFill="1" applyBorder="1" applyProtection="1"/>
    <xf numFmtId="44" fontId="10" fillId="0" borderId="45" xfId="1" applyFont="1" applyFill="1" applyBorder="1" applyProtection="1"/>
    <xf numFmtId="0" fontId="21" fillId="0" borderId="0" xfId="0" applyFont="1"/>
    <xf numFmtId="0" fontId="29" fillId="0" borderId="0" xfId="0" applyFont="1"/>
    <xf numFmtId="2" fontId="31" fillId="0" borderId="0" xfId="0" applyNumberFormat="1" applyFont="1" applyAlignment="1">
      <alignment horizontal="center"/>
    </xf>
    <xf numFmtId="0" fontId="6" fillId="0" borderId="19" xfId="0" applyFont="1" applyBorder="1" applyAlignment="1" applyProtection="1">
      <alignment horizontal="center"/>
      <protection locked="0"/>
    </xf>
    <xf numFmtId="0" fontId="7" fillId="0" borderId="0" xfId="0" applyFont="1" applyAlignment="1">
      <alignment horizontal="left"/>
    </xf>
    <xf numFmtId="0" fontId="10" fillId="0" borderId="0" xfId="0" applyFont="1"/>
    <xf numFmtId="0" fontId="29" fillId="0" borderId="0" xfId="0" applyFont="1" applyAlignment="1">
      <alignment horizontal="left"/>
    </xf>
    <xf numFmtId="0" fontId="4" fillId="0" borderId="19" xfId="0" applyFont="1" applyBorder="1" applyAlignment="1">
      <alignment horizontal="left"/>
    </xf>
    <xf numFmtId="0" fontId="7" fillId="0" borderId="46" xfId="0" applyFont="1" applyBorder="1" applyAlignment="1">
      <alignment horizontal="left"/>
    </xf>
    <xf numFmtId="0" fontId="8" fillId="0" borderId="43" xfId="0" applyFont="1" applyBorder="1" applyAlignment="1">
      <alignment horizontal="center"/>
    </xf>
    <xf numFmtId="0" fontId="15" fillId="0" borderId="0" xfId="0" applyFont="1" applyProtection="1">
      <protection locked="0"/>
    </xf>
    <xf numFmtId="0" fontId="36" fillId="2" borderId="0" xfId="0" applyFont="1" applyFill="1"/>
    <xf numFmtId="0" fontId="36" fillId="2" borderId="5" xfId="0" applyFont="1" applyFill="1" applyBorder="1"/>
    <xf numFmtId="0" fontId="36" fillId="2" borderId="13" xfId="0" applyFont="1" applyFill="1" applyBorder="1"/>
    <xf numFmtId="0" fontId="36" fillId="2" borderId="6" xfId="0" applyFont="1" applyFill="1" applyBorder="1"/>
    <xf numFmtId="0" fontId="17" fillId="0" borderId="1" xfId="0" applyFont="1" applyBorder="1"/>
    <xf numFmtId="0" fontId="17" fillId="0" borderId="2" xfId="0" applyFont="1" applyBorder="1"/>
    <xf numFmtId="0" fontId="15" fillId="0" borderId="2" xfId="0" applyFont="1" applyBorder="1"/>
    <xf numFmtId="0" fontId="15" fillId="0" borderId="3" xfId="0" applyFont="1" applyBorder="1"/>
    <xf numFmtId="0" fontId="15" fillId="0" borderId="0" xfId="0" applyFont="1"/>
    <xf numFmtId="0" fontId="15" fillId="0" borderId="18" xfId="0" applyFont="1" applyBorder="1"/>
    <xf numFmtId="0" fontId="15" fillId="0" borderId="19" xfId="0" applyFont="1" applyBorder="1"/>
    <xf numFmtId="0" fontId="15" fillId="0" borderId="5" xfId="0" applyFont="1" applyBorder="1"/>
    <xf numFmtId="0" fontId="7" fillId="0" borderId="31" xfId="0" applyFont="1" applyBorder="1"/>
    <xf numFmtId="0" fontId="24" fillId="0" borderId="31" xfId="0" applyFont="1" applyBorder="1"/>
    <xf numFmtId="0" fontId="24" fillId="0" borderId="5" xfId="0" applyFont="1" applyBorder="1"/>
    <xf numFmtId="0" fontId="19" fillId="0" borderId="19" xfId="0" applyFont="1" applyBorder="1"/>
    <xf numFmtId="0" fontId="19" fillId="0" borderId="5" xfId="0" applyFont="1" applyBorder="1"/>
    <xf numFmtId="0" fontId="35" fillId="0" borderId="19" xfId="0" applyFont="1" applyBorder="1"/>
    <xf numFmtId="0" fontId="35" fillId="0" borderId="0" xfId="0" applyFont="1"/>
    <xf numFmtId="0" fontId="4" fillId="0" borderId="46" xfId="0" applyFont="1" applyBorder="1"/>
    <xf numFmtId="44" fontId="16" fillId="0" borderId="0" xfId="1" applyFont="1" applyFill="1" applyBorder="1" applyAlignment="1" applyProtection="1">
      <protection locked="0"/>
    </xf>
    <xf numFmtId="0" fontId="19" fillId="0" borderId="19" xfId="0" applyFont="1" applyBorder="1" applyProtection="1">
      <protection locked="0"/>
    </xf>
    <xf numFmtId="44" fontId="16" fillId="0" borderId="18" xfId="1" applyFont="1" applyFill="1" applyBorder="1" applyAlignment="1" applyProtection="1">
      <protection locked="0"/>
    </xf>
    <xf numFmtId="0" fontId="19" fillId="0" borderId="5" xfId="0" applyFont="1" applyBorder="1" applyProtection="1">
      <protection locked="0"/>
    </xf>
    <xf numFmtId="164" fontId="15" fillId="0" borderId="5" xfId="0" applyNumberFormat="1" applyFont="1" applyBorder="1" applyProtection="1">
      <protection locked="0"/>
    </xf>
    <xf numFmtId="164" fontId="15" fillId="0" borderId="41" xfId="1" applyNumberFormat="1" applyFont="1" applyFill="1" applyBorder="1" applyAlignment="1" applyProtection="1">
      <protection locked="0"/>
    </xf>
    <xf numFmtId="164" fontId="19" fillId="0" borderId="28" xfId="0" applyNumberFormat="1" applyFont="1" applyBorder="1" applyProtection="1">
      <protection locked="0"/>
    </xf>
    <xf numFmtId="164" fontId="15" fillId="0" borderId="28" xfId="1" applyNumberFormat="1" applyFont="1" applyFill="1" applyBorder="1" applyAlignment="1" applyProtection="1">
      <protection locked="0"/>
    </xf>
    <xf numFmtId="164" fontId="19" fillId="0" borderId="29" xfId="0" applyNumberFormat="1" applyFont="1" applyBorder="1" applyProtection="1">
      <protection locked="0"/>
    </xf>
    <xf numFmtId="0" fontId="4" fillId="0" borderId="18" xfId="0" applyFont="1" applyBorder="1"/>
    <xf numFmtId="0" fontId="15" fillId="0" borderId="18" xfId="0" applyFont="1" applyBorder="1" applyProtection="1">
      <protection locked="0"/>
    </xf>
    <xf numFmtId="0" fontId="7" fillId="0" borderId="0" xfId="0" applyFont="1"/>
    <xf numFmtId="44" fontId="37" fillId="0" borderId="0" xfId="0" applyNumberFormat="1" applyFont="1" applyProtection="1">
      <protection locked="0"/>
    </xf>
    <xf numFmtId="44" fontId="37" fillId="0" borderId="18" xfId="0" applyNumberFormat="1" applyFont="1" applyBorder="1" applyProtection="1">
      <protection locked="0"/>
    </xf>
    <xf numFmtId="0" fontId="4" fillId="0" borderId="19" xfId="0" applyFont="1" applyBorder="1"/>
    <xf numFmtId="44" fontId="15" fillId="0" borderId="42" xfId="1" applyFont="1" applyFill="1" applyBorder="1" applyAlignment="1" applyProtection="1">
      <protection locked="0"/>
    </xf>
    <xf numFmtId="164" fontId="19" fillId="0" borderId="32" xfId="0" applyNumberFormat="1" applyFont="1" applyBorder="1" applyProtection="1">
      <protection locked="0"/>
    </xf>
    <xf numFmtId="44" fontId="15" fillId="0" borderId="32" xfId="1" applyFont="1" applyFill="1" applyBorder="1" applyAlignment="1" applyProtection="1">
      <protection locked="0"/>
    </xf>
    <xf numFmtId="164" fontId="19" fillId="0" borderId="34" xfId="0" applyNumberFormat="1" applyFont="1" applyBorder="1" applyProtection="1">
      <protection locked="0"/>
    </xf>
    <xf numFmtId="164" fontId="15" fillId="0" borderId="0" xfId="0" applyNumberFormat="1" applyFont="1" applyProtection="1">
      <protection locked="0"/>
    </xf>
    <xf numFmtId="44" fontId="15" fillId="0" borderId="19" xfId="1" applyFont="1" applyFill="1" applyBorder="1" applyAlignment="1" applyProtection="1">
      <protection locked="0"/>
    </xf>
    <xf numFmtId="164" fontId="19" fillId="0" borderId="31" xfId="0" applyNumberFormat="1" applyFont="1" applyBorder="1" applyProtection="1">
      <protection locked="0"/>
    </xf>
    <xf numFmtId="44" fontId="15" fillId="0" borderId="31" xfId="1" applyFont="1" applyFill="1" applyBorder="1" applyAlignment="1" applyProtection="1">
      <protection locked="0"/>
    </xf>
    <xf numFmtId="164" fontId="19" fillId="0" borderId="30" xfId="0" applyNumberFormat="1" applyFont="1" applyBorder="1" applyProtection="1">
      <protection locked="0"/>
    </xf>
    <xf numFmtId="44" fontId="19" fillId="0" borderId="19" xfId="0" applyNumberFormat="1" applyFont="1" applyBorder="1" applyProtection="1">
      <protection locked="0"/>
    </xf>
    <xf numFmtId="44" fontId="19" fillId="0" borderId="31" xfId="0" applyNumberFormat="1" applyFont="1" applyBorder="1" applyProtection="1">
      <protection locked="0"/>
    </xf>
    <xf numFmtId="0" fontId="14" fillId="0" borderId="19" xfId="0" applyFont="1" applyBorder="1" applyAlignment="1">
      <alignment horizontal="left"/>
    </xf>
    <xf numFmtId="0" fontId="14" fillId="0" borderId="19" xfId="0" applyFont="1" applyBorder="1" applyAlignment="1" applyProtection="1">
      <alignment horizontal="left"/>
      <protection locked="0"/>
    </xf>
    <xf numFmtId="44" fontId="15" fillId="0" borderId="0" xfId="1" applyFont="1" applyFill="1" applyBorder="1" applyAlignment="1" applyProtection="1">
      <protection locked="0"/>
    </xf>
    <xf numFmtId="164" fontId="19" fillId="0" borderId="0" xfId="0" applyNumberFormat="1" applyFont="1" applyProtection="1">
      <protection locked="0"/>
    </xf>
    <xf numFmtId="164" fontId="19" fillId="0" borderId="5" xfId="0" applyNumberFormat="1" applyFont="1" applyBorder="1" applyProtection="1">
      <protection locked="0"/>
    </xf>
    <xf numFmtId="44" fontId="19" fillId="0" borderId="19" xfId="1" applyFont="1" applyFill="1" applyBorder="1" applyAlignment="1" applyProtection="1">
      <protection locked="0"/>
    </xf>
    <xf numFmtId="44" fontId="19" fillId="0" borderId="31" xfId="1" applyFont="1" applyFill="1" applyBorder="1" applyAlignment="1" applyProtection="1">
      <protection locked="0"/>
    </xf>
    <xf numFmtId="0" fontId="19" fillId="0" borderId="0" xfId="0" applyFont="1" applyProtection="1">
      <protection locked="0"/>
    </xf>
    <xf numFmtId="164" fontId="12" fillId="0" borderId="5" xfId="0" applyNumberFormat="1" applyFont="1" applyBorder="1"/>
    <xf numFmtId="0" fontId="10" fillId="0" borderId="0" xfId="0" applyFont="1" applyProtection="1">
      <protection locked="0"/>
    </xf>
    <xf numFmtId="0" fontId="15" fillId="0" borderId="19" xfId="0" applyFont="1" applyBorder="1" applyProtection="1">
      <protection locked="0"/>
    </xf>
    <xf numFmtId="0" fontId="15" fillId="0" borderId="5" xfId="0" applyFont="1" applyBorder="1" applyProtection="1">
      <protection locked="0"/>
    </xf>
    <xf numFmtId="8" fontId="24" fillId="0" borderId="0" xfId="0" applyNumberFormat="1" applyFont="1" applyAlignment="1">
      <alignment horizontal="center"/>
    </xf>
    <xf numFmtId="8" fontId="24" fillId="0" borderId="19" xfId="0" applyNumberFormat="1" applyFont="1" applyBorder="1" applyAlignment="1">
      <alignment horizontal="center"/>
    </xf>
    <xf numFmtId="8" fontId="4" fillId="0" borderId="0" xfId="0" applyNumberFormat="1" applyFont="1" applyAlignment="1">
      <alignment horizontal="center"/>
    </xf>
    <xf numFmtId="8" fontId="10" fillId="0" borderId="20" xfId="0" applyNumberFormat="1" applyFont="1" applyBorder="1" applyAlignment="1">
      <alignment horizontal="center"/>
    </xf>
    <xf numFmtId="8" fontId="10" fillId="0" borderId="8" xfId="0" applyNumberFormat="1" applyFont="1" applyBorder="1" applyAlignment="1">
      <alignment horizontal="center"/>
    </xf>
    <xf numFmtId="8" fontId="9" fillId="0" borderId="21" xfId="0" applyNumberFormat="1" applyFont="1" applyBorder="1" applyAlignment="1">
      <alignment horizontal="center"/>
    </xf>
    <xf numFmtId="8" fontId="9" fillId="0" borderId="9" xfId="0" applyNumberFormat="1" applyFont="1" applyBorder="1" applyAlignment="1">
      <alignment horizontal="center"/>
    </xf>
    <xf numFmtId="8" fontId="4" fillId="0" borderId="18" xfId="0" applyNumberFormat="1" applyFont="1" applyBorder="1" applyAlignment="1">
      <alignment horizontal="center"/>
    </xf>
    <xf numFmtId="8" fontId="4" fillId="0" borderId="31" xfId="1" applyNumberFormat="1" applyFont="1" applyFill="1" applyBorder="1" applyAlignment="1" applyProtection="1">
      <alignment horizontal="center"/>
    </xf>
    <xf numFmtId="8" fontId="38" fillId="0" borderId="0" xfId="0" applyNumberFormat="1" applyFont="1" applyAlignment="1">
      <alignment horizontal="center"/>
    </xf>
    <xf numFmtId="8" fontId="38" fillId="0" borderId="40" xfId="0" applyNumberFormat="1" applyFont="1" applyBorder="1" applyAlignment="1">
      <alignment horizontal="center"/>
    </xf>
    <xf numFmtId="8" fontId="34" fillId="0" borderId="0" xfId="0" applyNumberFormat="1" applyFont="1" applyAlignment="1">
      <alignment horizontal="center"/>
    </xf>
    <xf numFmtId="8" fontId="12" fillId="0" borderId="0" xfId="0" applyNumberFormat="1" applyFont="1" applyAlignment="1">
      <alignment horizontal="center"/>
    </xf>
    <xf numFmtId="8" fontId="29" fillId="0" borderId="52" xfId="0" applyNumberFormat="1" applyFont="1" applyBorder="1" applyAlignment="1">
      <alignment horizontal="center"/>
    </xf>
    <xf numFmtId="8" fontId="29" fillId="0" borderId="53" xfId="0" applyNumberFormat="1" applyFont="1" applyBorder="1" applyAlignment="1">
      <alignment horizontal="center"/>
    </xf>
    <xf numFmtId="8" fontId="24" fillId="0" borderId="54" xfId="0" applyNumberFormat="1" applyFont="1" applyBorder="1" applyAlignment="1">
      <alignment horizontal="center"/>
    </xf>
    <xf numFmtId="8" fontId="4" fillId="0" borderId="52" xfId="0" applyNumberFormat="1" applyFont="1" applyBorder="1" applyAlignment="1">
      <alignment horizontal="center"/>
    </xf>
    <xf numFmtId="8" fontId="4" fillId="0" borderId="53" xfId="0" applyNumberFormat="1" applyFont="1" applyBorder="1" applyAlignment="1">
      <alignment horizontal="center"/>
    </xf>
    <xf numFmtId="8" fontId="24" fillId="0" borderId="55" xfId="0" applyNumberFormat="1" applyFont="1" applyBorder="1" applyAlignment="1">
      <alignment horizontal="center"/>
    </xf>
    <xf numFmtId="8" fontId="29" fillId="0" borderId="18" xfId="0" applyNumberFormat="1" applyFont="1" applyBorder="1" applyAlignment="1">
      <alignment horizontal="center"/>
    </xf>
    <xf numFmtId="0" fontId="6" fillId="0" borderId="19" xfId="0" applyFont="1" applyBorder="1" applyAlignment="1">
      <alignment horizontal="center"/>
    </xf>
    <xf numFmtId="44" fontId="30" fillId="0" borderId="43" xfId="1" applyFont="1" applyFill="1" applyBorder="1" applyAlignment="1" applyProtection="1">
      <alignment horizontal="center"/>
      <protection locked="0"/>
    </xf>
    <xf numFmtId="2" fontId="31" fillId="0" borderId="43" xfId="0" applyNumberFormat="1" applyFont="1" applyBorder="1" applyAlignment="1">
      <alignment horizontal="center"/>
    </xf>
    <xf numFmtId="44" fontId="4" fillId="0" borderId="18" xfId="1" applyFont="1" applyFill="1" applyBorder="1" applyProtection="1"/>
    <xf numFmtId="44" fontId="4" fillId="0" borderId="26" xfId="1" applyFont="1" applyFill="1" applyBorder="1" applyProtection="1"/>
    <xf numFmtId="44" fontId="24" fillId="0" borderId="31" xfId="1" applyFont="1" applyFill="1" applyBorder="1" applyAlignment="1" applyProtection="1">
      <alignment horizontal="center"/>
    </xf>
    <xf numFmtId="44" fontId="24" fillId="0" borderId="30" xfId="1" applyFont="1" applyFill="1" applyBorder="1" applyAlignment="1" applyProtection="1">
      <alignment horizontal="center"/>
    </xf>
    <xf numFmtId="44" fontId="38" fillId="0" borderId="29" xfId="1" applyFont="1" applyFill="1" applyBorder="1" applyAlignment="1" applyProtection="1">
      <alignment horizontal="center"/>
    </xf>
    <xf numFmtId="0" fontId="9" fillId="9" borderId="2" xfId="0" applyFont="1" applyFill="1" applyBorder="1" applyAlignment="1">
      <alignment horizontal="center" vertical="top"/>
    </xf>
    <xf numFmtId="0" fontId="9" fillId="9" borderId="0" xfId="0" applyFont="1" applyFill="1" applyAlignment="1">
      <alignment horizontal="center" vertical="top"/>
    </xf>
    <xf numFmtId="0" fontId="9" fillId="9" borderId="12" xfId="0" applyFont="1" applyFill="1" applyBorder="1" applyAlignment="1">
      <alignment horizontal="right" vertical="center"/>
    </xf>
    <xf numFmtId="0" fontId="9" fillId="9" borderId="13" xfId="0" applyFont="1" applyFill="1" applyBorder="1" applyAlignment="1">
      <alignment horizontal="right" vertical="center"/>
    </xf>
    <xf numFmtId="0" fontId="9" fillId="9" borderId="1" xfId="0" applyFont="1" applyFill="1" applyBorder="1" applyAlignment="1">
      <alignment horizontal="right" vertical="center"/>
    </xf>
    <xf numFmtId="0" fontId="9" fillId="9" borderId="2" xfId="0" applyFont="1" applyFill="1" applyBorder="1" applyAlignment="1">
      <alignment horizontal="right" vertical="center"/>
    </xf>
    <xf numFmtId="0" fontId="9" fillId="9" borderId="2" xfId="0" applyFont="1" applyFill="1" applyBorder="1" applyAlignment="1">
      <alignment horizontal="right" vertical="top"/>
    </xf>
    <xf numFmtId="0" fontId="9" fillId="9" borderId="0" xfId="0" applyFont="1" applyFill="1" applyAlignment="1">
      <alignment horizontal="right" vertical="top"/>
    </xf>
    <xf numFmtId="0" fontId="9" fillId="9" borderId="13" xfId="0" applyFont="1" applyFill="1" applyBorder="1" applyAlignment="1">
      <alignment horizontal="right" vertical="top"/>
    </xf>
    <xf numFmtId="0" fontId="9" fillId="9" borderId="35" xfId="0" applyFont="1" applyFill="1" applyBorder="1" applyAlignment="1">
      <alignment horizontal="right" vertical="center"/>
    </xf>
    <xf numFmtId="0" fontId="9" fillId="9" borderId="16" xfId="0" applyFont="1" applyFill="1" applyBorder="1" applyAlignment="1">
      <alignment horizontal="right" vertical="center"/>
    </xf>
    <xf numFmtId="0" fontId="4" fillId="9" borderId="4" xfId="0" applyFont="1" applyFill="1" applyBorder="1" applyAlignment="1">
      <alignment horizontal="right"/>
    </xf>
    <xf numFmtId="0" fontId="4" fillId="9" borderId="0" xfId="0" applyFont="1" applyFill="1"/>
    <xf numFmtId="0" fontId="0" fillId="9" borderId="0" xfId="0" applyFill="1"/>
    <xf numFmtId="0" fontId="0" fillId="9" borderId="5" xfId="0" applyFill="1" applyBorder="1"/>
    <xf numFmtId="0" fontId="10" fillId="9" borderId="4" xfId="0" applyFont="1" applyFill="1" applyBorder="1" applyAlignment="1">
      <alignment horizontal="right"/>
    </xf>
    <xf numFmtId="0" fontId="10" fillId="9" borderId="0" xfId="0" applyFont="1" applyFill="1"/>
    <xf numFmtId="0" fontId="3" fillId="9" borderId="0" xfId="0" applyFont="1" applyFill="1"/>
    <xf numFmtId="0" fontId="3" fillId="9" borderId="5" xfId="0" applyFont="1" applyFill="1" applyBorder="1"/>
    <xf numFmtId="0" fontId="9" fillId="9" borderId="0" xfId="0" applyFont="1" applyFill="1" applyAlignment="1">
      <alignment horizontal="right" vertical="center"/>
    </xf>
    <xf numFmtId="0" fontId="0" fillId="9" borderId="4" xfId="0" applyFill="1" applyBorder="1"/>
    <xf numFmtId="0" fontId="13" fillId="9" borderId="0" xfId="0" applyFont="1" applyFill="1" applyAlignment="1">
      <alignment horizontal="right"/>
    </xf>
    <xf numFmtId="0" fontId="0" fillId="9" borderId="12" xfId="0" applyFill="1" applyBorder="1"/>
    <xf numFmtId="0" fontId="0" fillId="9" borderId="13" xfId="0" applyFill="1" applyBorder="1"/>
    <xf numFmtId="0" fontId="0" fillId="9" borderId="6" xfId="0" applyFill="1" applyBorder="1"/>
    <xf numFmtId="0" fontId="41" fillId="0" borderId="0" xfId="0" applyFont="1" applyProtection="1">
      <protection locked="0"/>
    </xf>
    <xf numFmtId="0" fontId="10" fillId="8" borderId="25" xfId="0" applyFont="1" applyFill="1" applyBorder="1"/>
    <xf numFmtId="0" fontId="10" fillId="8" borderId="14" xfId="0" applyFont="1" applyFill="1" applyBorder="1"/>
    <xf numFmtId="0" fontId="41" fillId="8" borderId="14" xfId="0" applyFont="1" applyFill="1" applyBorder="1"/>
    <xf numFmtId="0" fontId="41" fillId="8" borderId="14" xfId="0" applyFont="1" applyFill="1" applyBorder="1" applyAlignment="1">
      <alignment horizontal="center"/>
    </xf>
    <xf numFmtId="44" fontId="10" fillId="8" borderId="15" xfId="0" applyNumberFormat="1" applyFont="1" applyFill="1" applyBorder="1"/>
    <xf numFmtId="0" fontId="41" fillId="7" borderId="14" xfId="0" applyFont="1" applyFill="1" applyBorder="1"/>
    <xf numFmtId="0" fontId="41" fillId="7" borderId="14" xfId="0" applyFont="1" applyFill="1" applyBorder="1" applyAlignment="1">
      <alignment horizontal="center"/>
    </xf>
    <xf numFmtId="44" fontId="10" fillId="7" borderId="15" xfId="0" applyNumberFormat="1" applyFont="1" applyFill="1" applyBorder="1"/>
    <xf numFmtId="0" fontId="10" fillId="7" borderId="25" xfId="0" applyFont="1" applyFill="1" applyBorder="1" applyAlignment="1">
      <alignment horizontal="left"/>
    </xf>
    <xf numFmtId="0" fontId="10" fillId="7" borderId="14" xfId="0" applyFont="1" applyFill="1" applyBorder="1" applyAlignment="1">
      <alignment horizontal="left"/>
    </xf>
    <xf numFmtId="0" fontId="42" fillId="7" borderId="14" xfId="0" applyFont="1" applyFill="1" applyBorder="1"/>
    <xf numFmtId="0" fontId="24" fillId="0" borderId="19" xfId="0" applyFont="1" applyBorder="1"/>
    <xf numFmtId="0" fontId="4" fillId="0" borderId="30" xfId="0" applyFont="1" applyBorder="1"/>
    <xf numFmtId="0" fontId="10" fillId="8" borderId="35" xfId="0" applyFont="1" applyFill="1" applyBorder="1"/>
    <xf numFmtId="0" fontId="10" fillId="8" borderId="16" xfId="0" applyFont="1" applyFill="1" applyBorder="1" applyAlignment="1">
      <alignment horizontal="center"/>
    </xf>
    <xf numFmtId="0" fontId="9" fillId="8" borderId="16" xfId="0" applyFont="1" applyFill="1" applyBorder="1" applyAlignment="1">
      <alignment horizontal="center"/>
    </xf>
    <xf numFmtId="0" fontId="10" fillId="8" borderId="24" xfId="0" applyFont="1" applyFill="1" applyBorder="1" applyAlignment="1">
      <alignment horizontal="center"/>
    </xf>
    <xf numFmtId="0" fontId="10" fillId="8" borderId="56" xfId="0" applyFont="1" applyFill="1" applyBorder="1" applyAlignment="1">
      <alignment horizontal="center"/>
    </xf>
    <xf numFmtId="0" fontId="49" fillId="0" borderId="0" xfId="0" applyFont="1" applyProtection="1">
      <protection locked="0"/>
    </xf>
    <xf numFmtId="0" fontId="10" fillId="7" borderId="44" xfId="0" applyFont="1" applyFill="1" applyBorder="1" applyAlignment="1">
      <alignment horizontal="center"/>
    </xf>
    <xf numFmtId="0" fontId="10" fillId="7" borderId="51" xfId="0" applyFont="1" applyFill="1" applyBorder="1" applyAlignment="1">
      <alignment horizontal="center"/>
    </xf>
    <xf numFmtId="0" fontId="29" fillId="0" borderId="4" xfId="0" applyFont="1" applyBorder="1" applyAlignment="1">
      <alignment horizontal="left"/>
    </xf>
    <xf numFmtId="0" fontId="7" fillId="0" borderId="4" xfId="0" applyFont="1" applyBorder="1" applyAlignment="1">
      <alignment horizontal="center"/>
    </xf>
    <xf numFmtId="0" fontId="10" fillId="0" borderId="5" xfId="0" applyFont="1" applyBorder="1"/>
    <xf numFmtId="44" fontId="4" fillId="0" borderId="31" xfId="1" applyFont="1" applyFill="1" applyBorder="1" applyAlignment="1" applyProtection="1">
      <alignment horizontal="center"/>
    </xf>
    <xf numFmtId="8" fontId="29" fillId="0" borderId="0" xfId="0" applyNumberFormat="1" applyFont="1" applyAlignment="1">
      <alignment horizontal="center"/>
    </xf>
    <xf numFmtId="8" fontId="38" fillId="0" borderId="22" xfId="0" applyNumberFormat="1" applyFont="1" applyBorder="1" applyAlignment="1">
      <alignment horizontal="center"/>
    </xf>
    <xf numFmtId="44" fontId="38" fillId="0" borderId="33" xfId="1" applyFont="1" applyFill="1" applyBorder="1" applyAlignment="1" applyProtection="1">
      <alignment horizontal="center"/>
    </xf>
    <xf numFmtId="44" fontId="38" fillId="0" borderId="17" xfId="1" applyFont="1" applyFill="1" applyBorder="1" applyAlignment="1" applyProtection="1">
      <alignment horizontal="center"/>
    </xf>
    <xf numFmtId="44" fontId="4" fillId="0" borderId="19" xfId="1" applyFont="1" applyFill="1" applyBorder="1" applyProtection="1"/>
    <xf numFmtId="44" fontId="4" fillId="0" borderId="20" xfId="1" applyFont="1" applyFill="1" applyBorder="1" applyProtection="1"/>
    <xf numFmtId="44" fontId="4" fillId="0" borderId="8" xfId="1" applyFont="1" applyFill="1" applyBorder="1" applyProtection="1"/>
    <xf numFmtId="44" fontId="4" fillId="0" borderId="21" xfId="1" applyFont="1" applyFill="1" applyBorder="1" applyProtection="1"/>
    <xf numFmtId="0" fontId="10" fillId="0" borderId="18" xfId="0" applyFont="1" applyBorder="1"/>
    <xf numFmtId="0" fontId="29" fillId="0" borderId="18" xfId="0" applyFont="1" applyBorder="1" applyAlignment="1">
      <alignment horizontal="left" indent="2"/>
    </xf>
    <xf numFmtId="8" fontId="9" fillId="0" borderId="8" xfId="0" applyNumberFormat="1" applyFont="1" applyBorder="1" applyAlignment="1">
      <alignment horizontal="center"/>
    </xf>
    <xf numFmtId="0" fontId="7" fillId="0" borderId="18" xfId="0" applyFont="1" applyBorder="1" applyAlignment="1">
      <alignment horizontal="center"/>
    </xf>
    <xf numFmtId="0" fontId="7" fillId="0" borderId="0" xfId="0" applyFont="1" applyAlignment="1">
      <alignment horizontal="center"/>
    </xf>
    <xf numFmtId="0" fontId="6" fillId="0" borderId="27" xfId="0" applyFont="1" applyBorder="1" applyAlignment="1" applyProtection="1">
      <alignment horizontal="center"/>
      <protection locked="0"/>
    </xf>
    <xf numFmtId="0" fontId="11" fillId="0" borderId="18" xfId="0" applyFont="1" applyBorder="1" applyAlignment="1">
      <alignment horizontal="center"/>
    </xf>
    <xf numFmtId="0" fontId="4" fillId="0" borderId="19" xfId="0" applyFont="1" applyBorder="1" applyAlignment="1">
      <alignment horizontal="center"/>
    </xf>
    <xf numFmtId="8" fontId="15" fillId="0" borderId="0" xfId="0" applyNumberFormat="1" applyFont="1" applyAlignment="1" applyProtection="1">
      <alignment horizontal="center"/>
      <protection locked="0"/>
    </xf>
    <xf numFmtId="44" fontId="24" fillId="0" borderId="32" xfId="1" applyFont="1" applyFill="1" applyBorder="1" applyAlignment="1" applyProtection="1">
      <alignment horizontal="center"/>
    </xf>
    <xf numFmtId="44" fontId="38" fillId="0" borderId="28" xfId="1" applyFont="1" applyFill="1" applyBorder="1" applyAlignment="1" applyProtection="1">
      <alignment horizontal="center"/>
    </xf>
    <xf numFmtId="0" fontId="3" fillId="0" borderId="0" xfId="0" applyFont="1" applyAlignment="1">
      <alignment horizontal="center"/>
    </xf>
    <xf numFmtId="0" fontId="0" fillId="0" borderId="0" xfId="0" applyAlignment="1">
      <alignment horizontal="left"/>
    </xf>
    <xf numFmtId="8" fontId="0" fillId="0" borderId="0" xfId="0" applyNumberFormat="1" applyAlignment="1">
      <alignment horizontal="center"/>
    </xf>
    <xf numFmtId="165" fontId="0" fillId="0" borderId="0" xfId="0" applyNumberFormat="1" applyAlignment="1">
      <alignment horizontal="center"/>
    </xf>
    <xf numFmtId="0" fontId="27" fillId="0" borderId="0" xfId="0" applyFont="1" applyAlignment="1" applyProtection="1">
      <alignment horizontal="center"/>
      <protection locked="0"/>
    </xf>
    <xf numFmtId="8" fontId="38" fillId="0" borderId="28" xfId="0" applyNumberFormat="1" applyFont="1" applyBorder="1" applyAlignment="1">
      <alignment horizontal="center"/>
    </xf>
    <xf numFmtId="0" fontId="47" fillId="0" borderId="0" xfId="0" applyFont="1" applyAlignment="1">
      <alignment horizontal="center"/>
    </xf>
    <xf numFmtId="0" fontId="10" fillId="0" borderId="58" xfId="0" applyFont="1" applyBorder="1" applyAlignment="1">
      <alignment horizontal="left"/>
    </xf>
    <xf numFmtId="2" fontId="10" fillId="0" borderId="57" xfId="0" applyNumberFormat="1" applyFont="1" applyBorder="1" applyAlignment="1">
      <alignment horizontal="center"/>
    </xf>
    <xf numFmtId="2" fontId="10" fillId="0" borderId="58" xfId="0" applyNumberFormat="1" applyFont="1" applyBorder="1" applyAlignment="1">
      <alignment horizontal="center"/>
    </xf>
    <xf numFmtId="2" fontId="10" fillId="0" borderId="42" xfId="0" applyNumberFormat="1" applyFont="1" applyBorder="1" applyAlignment="1">
      <alignment horizontal="center"/>
    </xf>
    <xf numFmtId="2" fontId="10" fillId="0" borderId="60" xfId="0" applyNumberFormat="1" applyFont="1" applyBorder="1" applyAlignment="1">
      <alignment horizontal="center"/>
    </xf>
    <xf numFmtId="0" fontId="29" fillId="0" borderId="48" xfId="0" applyFont="1" applyBorder="1" applyAlignment="1">
      <alignment horizontal="left"/>
    </xf>
    <xf numFmtId="0" fontId="29" fillId="0" borderId="51" xfId="0" applyFont="1" applyBorder="1" applyAlignment="1">
      <alignment horizontal="left"/>
    </xf>
    <xf numFmtId="8" fontId="12" fillId="0" borderId="18" xfId="0" applyNumberFormat="1" applyFont="1" applyBorder="1" applyAlignment="1">
      <alignment horizontal="center"/>
    </xf>
    <xf numFmtId="8" fontId="12" fillId="0" borderId="19" xfId="0" applyNumberFormat="1" applyFont="1" applyBorder="1" applyAlignment="1">
      <alignment horizontal="center"/>
    </xf>
    <xf numFmtId="8" fontId="12" fillId="0" borderId="5" xfId="0" applyNumberFormat="1" applyFont="1" applyBorder="1" applyAlignment="1">
      <alignment horizontal="center"/>
    </xf>
    <xf numFmtId="0" fontId="50" fillId="0" borderId="31" xfId="0" applyFont="1" applyBorder="1" applyAlignment="1">
      <alignment horizontal="left"/>
    </xf>
    <xf numFmtId="0" fontId="52" fillId="0" borderId="0" xfId="0" applyFont="1"/>
    <xf numFmtId="0" fontId="52" fillId="0" borderId="31" xfId="0" applyFont="1" applyBorder="1" applyAlignment="1">
      <alignment horizontal="left"/>
    </xf>
    <xf numFmtId="165" fontId="50" fillId="0" borderId="59" xfId="0" applyNumberFormat="1" applyFont="1" applyBorder="1" applyAlignment="1">
      <alignment horizontal="left" vertical="center"/>
    </xf>
    <xf numFmtId="0" fontId="52" fillId="0" borderId="27" xfId="0" applyFont="1" applyBorder="1" applyAlignment="1">
      <alignment horizontal="left"/>
    </xf>
    <xf numFmtId="40" fontId="50" fillId="0" borderId="38" xfId="0" applyNumberFormat="1" applyFont="1" applyBorder="1" applyAlignment="1">
      <alignment horizontal="center"/>
    </xf>
    <xf numFmtId="8" fontId="50" fillId="0" borderId="38" xfId="0" applyNumberFormat="1" applyFont="1" applyBorder="1" applyAlignment="1">
      <alignment horizontal="center"/>
    </xf>
    <xf numFmtId="8" fontId="50" fillId="0" borderId="13" xfId="0" applyNumberFormat="1" applyFont="1" applyBorder="1" applyAlignment="1">
      <alignment horizontal="center"/>
    </xf>
    <xf numFmtId="40" fontId="50" fillId="0" borderId="45" xfId="0" applyNumberFormat="1" applyFont="1" applyBorder="1" applyAlignment="1">
      <alignment horizontal="center"/>
    </xf>
    <xf numFmtId="40" fontId="50" fillId="0" borderId="53" xfId="0" applyNumberFormat="1" applyFont="1" applyBorder="1" applyAlignment="1">
      <alignment horizontal="center"/>
    </xf>
    <xf numFmtId="165" fontId="24" fillId="0" borderId="32" xfId="1" applyNumberFormat="1" applyFont="1" applyFill="1" applyBorder="1" applyAlignment="1" applyProtection="1">
      <alignment horizontal="center"/>
    </xf>
    <xf numFmtId="165" fontId="24" fillId="0" borderId="31" xfId="1" applyNumberFormat="1" applyFont="1" applyFill="1" applyBorder="1" applyAlignment="1" applyProtection="1">
      <alignment horizontal="center"/>
    </xf>
    <xf numFmtId="8" fontId="38" fillId="0" borderId="17" xfId="1" applyNumberFormat="1" applyFont="1" applyFill="1" applyBorder="1" applyAlignment="1" applyProtection="1">
      <alignment horizontal="center"/>
    </xf>
    <xf numFmtId="0" fontId="12" fillId="0" borderId="51" xfId="0" applyFont="1" applyBorder="1" applyAlignment="1">
      <alignment horizontal="left"/>
    </xf>
    <xf numFmtId="0" fontId="12" fillId="0" borderId="48" xfId="0" applyFont="1" applyBorder="1" applyAlignment="1">
      <alignment horizontal="left"/>
    </xf>
    <xf numFmtId="165" fontId="34" fillId="0" borderId="28" xfId="1" applyNumberFormat="1" applyFont="1" applyFill="1" applyBorder="1" applyAlignment="1" applyProtection="1">
      <alignment horizontal="center"/>
    </xf>
    <xf numFmtId="165" fontId="10" fillId="0" borderId="0" xfId="0" applyNumberFormat="1" applyFont="1" applyAlignment="1">
      <alignment horizontal="left"/>
    </xf>
    <xf numFmtId="2" fontId="10" fillId="0" borderId="0" xfId="0" applyNumberFormat="1" applyFont="1" applyAlignment="1">
      <alignment horizontal="left"/>
    </xf>
    <xf numFmtId="165" fontId="10" fillId="7" borderId="32" xfId="0" applyNumberFormat="1" applyFont="1" applyFill="1" applyBorder="1" applyAlignment="1">
      <alignment horizontal="center"/>
    </xf>
    <xf numFmtId="2" fontId="10" fillId="7" borderId="22" xfId="0" applyNumberFormat="1" applyFont="1" applyFill="1" applyBorder="1" applyAlignment="1">
      <alignment horizontal="center"/>
    </xf>
    <xf numFmtId="165" fontId="10" fillId="0" borderId="0" xfId="0" applyNumberFormat="1" applyFont="1"/>
    <xf numFmtId="0" fontId="54" fillId="0" borderId="0" xfId="0" applyFont="1"/>
    <xf numFmtId="0" fontId="4" fillId="9" borderId="0" xfId="0" applyFont="1" applyFill="1" applyAlignment="1">
      <alignment horizontal="center" vertical="center" wrapText="1"/>
    </xf>
    <xf numFmtId="0" fontId="4" fillId="9" borderId="5" xfId="0" applyFont="1" applyFill="1" applyBorder="1" applyAlignment="1">
      <alignment horizontal="center" vertical="center" wrapText="1"/>
    </xf>
    <xf numFmtId="0" fontId="13" fillId="9" borderId="12" xfId="0" applyFont="1" applyFill="1" applyBorder="1" applyAlignment="1">
      <alignment horizontal="right"/>
    </xf>
    <xf numFmtId="0" fontId="13" fillId="9" borderId="13" xfId="0" applyFont="1" applyFill="1" applyBorder="1" applyAlignment="1">
      <alignment horizontal="right"/>
    </xf>
    <xf numFmtId="44" fontId="15" fillId="0" borderId="0" xfId="0" applyNumberFormat="1" applyFont="1" applyProtection="1">
      <protection locked="0"/>
    </xf>
    <xf numFmtId="44" fontId="0" fillId="0" borderId="0" xfId="0" applyNumberFormat="1" applyProtection="1">
      <protection locked="0"/>
    </xf>
    <xf numFmtId="0" fontId="29" fillId="0" borderId="0" xfId="0" applyFont="1" applyAlignment="1">
      <alignment horizontal="left" indent="2"/>
    </xf>
    <xf numFmtId="0" fontId="14" fillId="0" borderId="0" xfId="0" applyFont="1" applyAlignment="1">
      <alignment horizontal="left" indent="2"/>
    </xf>
    <xf numFmtId="0" fontId="14" fillId="0" borderId="0" xfId="0" applyFont="1" applyAlignment="1" applyProtection="1">
      <alignment horizontal="left" indent="2"/>
      <protection locked="0"/>
    </xf>
    <xf numFmtId="0" fontId="15" fillId="0" borderId="4" xfId="0" applyFont="1" applyBorder="1" applyProtection="1">
      <protection locked="0"/>
    </xf>
    <xf numFmtId="0" fontId="15" fillId="0" borderId="12" xfId="0" applyFont="1" applyBorder="1" applyProtection="1">
      <protection locked="0"/>
    </xf>
    <xf numFmtId="0" fontId="15" fillId="0" borderId="13" xfId="0" applyFont="1" applyBorder="1" applyProtection="1">
      <protection locked="0"/>
    </xf>
    <xf numFmtId="0" fontId="15" fillId="0" borderId="6" xfId="0" applyFont="1" applyBorder="1" applyProtection="1">
      <protection locked="0"/>
    </xf>
    <xf numFmtId="0" fontId="32" fillId="0" borderId="43" xfId="0" applyFont="1" applyBorder="1" applyProtection="1">
      <protection locked="0"/>
    </xf>
    <xf numFmtId="0" fontId="32" fillId="8" borderId="17" xfId="0" applyFont="1" applyFill="1" applyBorder="1" applyAlignment="1" applyProtection="1">
      <alignment horizontal="center"/>
      <protection locked="0"/>
    </xf>
    <xf numFmtId="44" fontId="32" fillId="8" borderId="62" xfId="1" applyFont="1" applyFill="1" applyBorder="1" applyAlignment="1" applyProtection="1">
      <alignment horizontal="center"/>
      <protection locked="0"/>
    </xf>
    <xf numFmtId="44" fontId="32" fillId="8" borderId="63" xfId="1" applyFont="1" applyFill="1" applyBorder="1" applyAlignment="1" applyProtection="1">
      <alignment horizontal="center"/>
      <protection locked="0"/>
    </xf>
    <xf numFmtId="0" fontId="32" fillId="8" borderId="51" xfId="0" applyFont="1" applyFill="1" applyBorder="1" applyAlignment="1" applyProtection="1">
      <alignment horizontal="center"/>
      <protection locked="0"/>
    </xf>
    <xf numFmtId="44" fontId="32" fillId="8" borderId="17" xfId="1" applyFont="1" applyFill="1" applyBorder="1" applyAlignment="1" applyProtection="1">
      <alignment horizontal="right"/>
      <protection locked="0"/>
    </xf>
    <xf numFmtId="2" fontId="32" fillId="8" borderId="17" xfId="0" applyNumberFormat="1" applyFont="1" applyFill="1" applyBorder="1" applyAlignment="1" applyProtection="1">
      <alignment horizontal="right"/>
      <protection locked="0"/>
    </xf>
    <xf numFmtId="0" fontId="33" fillId="8" borderId="17" xfId="0" applyFont="1" applyFill="1" applyBorder="1" applyAlignment="1" applyProtection="1">
      <alignment horizontal="center"/>
      <protection locked="0"/>
    </xf>
    <xf numFmtId="1" fontId="33" fillId="8" borderId="17" xfId="0" applyNumberFormat="1" applyFont="1" applyFill="1" applyBorder="1" applyAlignment="1" applyProtection="1">
      <alignment horizontal="center"/>
      <protection locked="0"/>
    </xf>
    <xf numFmtId="165" fontId="33" fillId="8" borderId="17" xfId="0" applyNumberFormat="1" applyFont="1" applyFill="1" applyBorder="1" applyAlignment="1" applyProtection="1">
      <alignment horizontal="center"/>
      <protection locked="0"/>
    </xf>
    <xf numFmtId="0" fontId="15" fillId="0" borderId="46" xfId="0" applyFont="1" applyBorder="1"/>
    <xf numFmtId="0" fontId="15" fillId="0" borderId="46" xfId="0" applyFont="1" applyBorder="1" applyAlignment="1">
      <alignment horizontal="left"/>
    </xf>
    <xf numFmtId="0" fontId="27" fillId="0" borderId="18" xfId="0" applyFont="1" applyBorder="1" applyAlignment="1">
      <alignment horizontal="center"/>
    </xf>
    <xf numFmtId="44" fontId="56" fillId="8" borderId="17" xfId="1" applyFont="1" applyFill="1" applyBorder="1" applyAlignment="1" applyProtection="1">
      <alignment horizontal="center"/>
      <protection locked="0"/>
    </xf>
    <xf numFmtId="8" fontId="56" fillId="0" borderId="0" xfId="1" applyNumberFormat="1" applyFont="1" applyFill="1" applyBorder="1" applyAlignment="1" applyProtection="1">
      <alignment horizontal="center"/>
    </xf>
    <xf numFmtId="8" fontId="57" fillId="0" borderId="19" xfId="0" applyNumberFormat="1" applyFont="1" applyBorder="1" applyAlignment="1">
      <alignment horizontal="center"/>
    </xf>
    <xf numFmtId="8" fontId="57" fillId="0" borderId="0" xfId="0" applyNumberFormat="1" applyFont="1" applyAlignment="1">
      <alignment horizontal="center"/>
    </xf>
    <xf numFmtId="8" fontId="16" fillId="0" borderId="0" xfId="1" applyNumberFormat="1" applyFont="1" applyFill="1" applyBorder="1" applyAlignment="1" applyProtection="1">
      <alignment horizontal="center"/>
    </xf>
    <xf numFmtId="8" fontId="19" fillId="0" borderId="5" xfId="0" applyNumberFormat="1" applyFont="1" applyBorder="1" applyAlignment="1">
      <alignment horizontal="center"/>
    </xf>
    <xf numFmtId="0" fontId="56" fillId="8" borderId="17" xfId="0" applyFont="1" applyFill="1" applyBorder="1" applyAlignment="1" applyProtection="1">
      <alignment horizontal="center"/>
      <protection locked="0"/>
    </xf>
    <xf numFmtId="8" fontId="19" fillId="0" borderId="0" xfId="0" applyNumberFormat="1" applyFont="1" applyAlignment="1">
      <alignment horizontal="center"/>
    </xf>
    <xf numFmtId="8" fontId="19" fillId="0" borderId="19" xfId="0" applyNumberFormat="1" applyFont="1" applyBorder="1" applyAlignment="1">
      <alignment horizontal="center"/>
    </xf>
    <xf numFmtId="8" fontId="15" fillId="0" borderId="19" xfId="0" applyNumberFormat="1" applyFont="1" applyBorder="1" applyAlignment="1">
      <alignment horizontal="center"/>
    </xf>
    <xf numFmtId="8" fontId="15" fillId="0" borderId="0" xfId="0" applyNumberFormat="1" applyFont="1" applyAlignment="1">
      <alignment horizontal="center"/>
    </xf>
    <xf numFmtId="8" fontId="15" fillId="0" borderId="5" xfId="0" applyNumberFormat="1" applyFont="1" applyBorder="1" applyAlignment="1">
      <alignment horizontal="center"/>
    </xf>
    <xf numFmtId="0" fontId="56" fillId="0" borderId="18" xfId="0" applyFont="1" applyBorder="1" applyAlignment="1" applyProtection="1">
      <alignment horizontal="center"/>
      <protection locked="0"/>
    </xf>
    <xf numFmtId="44" fontId="19" fillId="0" borderId="18" xfId="0" applyNumberFormat="1" applyFont="1" applyBorder="1" applyAlignment="1">
      <alignment horizontal="center"/>
    </xf>
    <xf numFmtId="44" fontId="19" fillId="0" borderId="18" xfId="1" applyFont="1" applyFill="1" applyBorder="1" applyAlignment="1" applyProtection="1">
      <alignment horizontal="center"/>
    </xf>
    <xf numFmtId="8" fontId="56" fillId="0" borderId="18" xfId="0" applyNumberFormat="1" applyFont="1" applyBorder="1" applyAlignment="1" applyProtection="1">
      <alignment horizontal="center"/>
      <protection locked="0"/>
    </xf>
    <xf numFmtId="8" fontId="7" fillId="0" borderId="32" xfId="0" applyNumberFormat="1" applyFont="1" applyBorder="1" applyAlignment="1">
      <alignment horizontal="center"/>
    </xf>
    <xf numFmtId="8" fontId="16" fillId="0" borderId="32" xfId="0" applyNumberFormat="1" applyFont="1" applyBorder="1" applyAlignment="1">
      <alignment horizontal="center"/>
    </xf>
    <xf numFmtId="8" fontId="16" fillId="0" borderId="0" xfId="0" applyNumberFormat="1" applyFont="1" applyAlignment="1">
      <alignment horizontal="center"/>
    </xf>
    <xf numFmtId="8" fontId="16" fillId="0" borderId="34" xfId="0" applyNumberFormat="1" applyFont="1" applyBorder="1" applyAlignment="1">
      <alignment horizontal="center"/>
    </xf>
    <xf numFmtId="8" fontId="58" fillId="0" borderId="40" xfId="1" applyNumberFormat="1" applyFont="1" applyFill="1" applyBorder="1" applyAlignment="1" applyProtection="1">
      <alignment horizontal="center"/>
    </xf>
    <xf numFmtId="8" fontId="59" fillId="0" borderId="40" xfId="0" applyNumberFormat="1" applyFont="1" applyBorder="1" applyAlignment="1">
      <alignment horizontal="center"/>
    </xf>
    <xf numFmtId="8" fontId="15" fillId="0" borderId="18" xfId="0" applyNumberFormat="1" applyFont="1" applyBorder="1" applyAlignment="1">
      <alignment horizontal="center"/>
    </xf>
    <xf numFmtId="8" fontId="37" fillId="0" borderId="18" xfId="0" applyNumberFormat="1" applyFont="1" applyBorder="1" applyAlignment="1">
      <alignment horizontal="center"/>
    </xf>
    <xf numFmtId="8" fontId="37" fillId="0" borderId="0" xfId="0" applyNumberFormat="1" applyFont="1" applyAlignment="1">
      <alignment horizontal="center"/>
    </xf>
    <xf numFmtId="8" fontId="7" fillId="0" borderId="20" xfId="0" applyNumberFormat="1" applyFont="1" applyBorder="1" applyAlignment="1">
      <alignment horizontal="center"/>
    </xf>
    <xf numFmtId="8" fontId="7" fillId="0" borderId="8" xfId="0" applyNumberFormat="1" applyFont="1" applyBorder="1" applyAlignment="1">
      <alignment horizontal="center"/>
    </xf>
    <xf numFmtId="8" fontId="16" fillId="0" borderId="21" xfId="0" applyNumberFormat="1" applyFont="1" applyBorder="1" applyAlignment="1">
      <alignment horizontal="center"/>
    </xf>
    <xf numFmtId="8" fontId="16" fillId="0" borderId="9" xfId="0" applyNumberFormat="1" applyFont="1" applyBorder="1" applyAlignment="1">
      <alignment horizontal="center"/>
    </xf>
    <xf numFmtId="44" fontId="19" fillId="0" borderId="31" xfId="1" applyFont="1" applyFill="1" applyBorder="1" applyAlignment="1" applyProtection="1">
      <alignment horizontal="center"/>
    </xf>
    <xf numFmtId="8" fontId="19" fillId="0" borderId="31" xfId="1" applyNumberFormat="1" applyFont="1" applyFill="1" applyBorder="1" applyAlignment="1" applyProtection="1">
      <alignment horizontal="center"/>
    </xf>
    <xf numFmtId="44" fontId="19" fillId="0" borderId="31" xfId="0" applyNumberFormat="1" applyFont="1" applyBorder="1" applyAlignment="1">
      <alignment horizontal="center"/>
    </xf>
    <xf numFmtId="44" fontId="15" fillId="0" borderId="31" xfId="1" applyFont="1" applyFill="1" applyBorder="1" applyAlignment="1" applyProtection="1">
      <alignment horizontal="center"/>
    </xf>
    <xf numFmtId="8" fontId="15" fillId="0" borderId="31" xfId="1" applyNumberFormat="1" applyFont="1" applyFill="1" applyBorder="1" applyAlignment="1" applyProtection="1">
      <alignment horizontal="center"/>
    </xf>
    <xf numFmtId="44" fontId="19" fillId="0" borderId="30" xfId="1" applyFont="1" applyFill="1" applyBorder="1" applyAlignment="1" applyProtection="1">
      <alignment horizontal="center"/>
    </xf>
    <xf numFmtId="44" fontId="59" fillId="0" borderId="39" xfId="0" applyNumberFormat="1" applyFont="1" applyBorder="1" applyAlignment="1">
      <alignment horizontal="center"/>
    </xf>
    <xf numFmtId="44" fontId="59" fillId="0" borderId="40" xfId="0" applyNumberFormat="1" applyFont="1" applyBorder="1" applyAlignment="1">
      <alignment horizontal="center"/>
    </xf>
    <xf numFmtId="44" fontId="59" fillId="0" borderId="41" xfId="0" applyNumberFormat="1" applyFont="1" applyBorder="1" applyAlignment="1">
      <alignment horizontal="center"/>
    </xf>
    <xf numFmtId="8" fontId="59" fillId="0" borderId="0" xfId="0" applyNumberFormat="1" applyFont="1" applyAlignment="1">
      <alignment horizontal="center"/>
    </xf>
    <xf numFmtId="44" fontId="59" fillId="0" borderId="39" xfId="1" applyFont="1" applyFill="1" applyBorder="1" applyAlignment="1" applyProtection="1">
      <alignment horizontal="center"/>
    </xf>
    <xf numFmtId="44" fontId="59" fillId="0" borderId="41" xfId="1" applyFont="1" applyFill="1" applyBorder="1" applyAlignment="1" applyProtection="1">
      <alignment horizontal="center"/>
    </xf>
    <xf numFmtId="44" fontId="59" fillId="0" borderId="29" xfId="1" applyFont="1" applyFill="1" applyBorder="1" applyAlignment="1" applyProtection="1">
      <alignment horizontal="center"/>
    </xf>
    <xf numFmtId="8" fontId="60" fillId="0" borderId="17" xfId="0" applyNumberFormat="1" applyFont="1" applyBorder="1" applyAlignment="1">
      <alignment horizontal="center"/>
    </xf>
    <xf numFmtId="165" fontId="60" fillId="0" borderId="17" xfId="0" applyNumberFormat="1" applyFont="1" applyBorder="1" applyAlignment="1">
      <alignment horizontal="center"/>
    </xf>
    <xf numFmtId="165" fontId="60" fillId="0" borderId="31" xfId="0" applyNumberFormat="1" applyFont="1" applyBorder="1" applyAlignment="1">
      <alignment horizontal="center"/>
    </xf>
    <xf numFmtId="8" fontId="60" fillId="0" borderId="33" xfId="0" applyNumberFormat="1" applyFont="1" applyBorder="1" applyAlignment="1">
      <alignment horizontal="center"/>
    </xf>
    <xf numFmtId="8" fontId="59" fillId="0" borderId="18" xfId="0" applyNumberFormat="1" applyFont="1" applyBorder="1" applyAlignment="1">
      <alignment horizontal="center"/>
    </xf>
    <xf numFmtId="8" fontId="59" fillId="0" borderId="0" xfId="1" applyNumberFormat="1" applyFont="1" applyFill="1" applyBorder="1" applyAlignment="1" applyProtection="1">
      <alignment horizontal="center"/>
    </xf>
    <xf numFmtId="44" fontId="19" fillId="0" borderId="32" xfId="1" applyFont="1" applyFill="1" applyBorder="1" applyAlignment="1" applyProtection="1">
      <alignment horizontal="center"/>
    </xf>
    <xf numFmtId="44" fontId="59" fillId="0" borderId="17" xfId="1" applyFont="1" applyFill="1" applyBorder="1" applyAlignment="1" applyProtection="1">
      <alignment horizontal="center"/>
    </xf>
    <xf numFmtId="8" fontId="59" fillId="0" borderId="22" xfId="1" applyNumberFormat="1" applyFont="1" applyFill="1" applyBorder="1" applyAlignment="1" applyProtection="1">
      <alignment horizontal="center"/>
    </xf>
    <xf numFmtId="44" fontId="59" fillId="0" borderId="11" xfId="1" applyFont="1" applyFill="1" applyBorder="1" applyAlignment="1" applyProtection="1">
      <alignment horizontal="center"/>
    </xf>
    <xf numFmtId="44" fontId="59" fillId="0" borderId="28" xfId="1" applyFont="1" applyFill="1" applyBorder="1" applyAlignment="1" applyProtection="1">
      <alignment horizontal="center"/>
    </xf>
    <xf numFmtId="44" fontId="59" fillId="0" borderId="15" xfId="1" applyFont="1" applyFill="1" applyBorder="1" applyAlignment="1" applyProtection="1">
      <alignment horizontal="center"/>
    </xf>
    <xf numFmtId="8" fontId="60" fillId="0" borderId="22" xfId="0" applyNumberFormat="1" applyFont="1" applyBorder="1" applyAlignment="1">
      <alignment horizontal="center"/>
    </xf>
    <xf numFmtId="8" fontId="60" fillId="0" borderId="0" xfId="0" applyNumberFormat="1" applyFont="1" applyAlignment="1">
      <alignment horizontal="center"/>
    </xf>
    <xf numFmtId="8" fontId="60" fillId="0" borderId="23" xfId="0" applyNumberFormat="1" applyFont="1" applyBorder="1" applyAlignment="1">
      <alignment horizontal="center"/>
    </xf>
    <xf numFmtId="0" fontId="7" fillId="7" borderId="51" xfId="0" applyFont="1" applyFill="1" applyBorder="1" applyAlignment="1">
      <alignment horizontal="center"/>
    </xf>
    <xf numFmtId="0" fontId="15" fillId="0" borderId="49" xfId="0" applyFont="1" applyBorder="1"/>
    <xf numFmtId="0" fontId="15" fillId="0" borderId="44" xfId="0" applyFont="1" applyBorder="1"/>
    <xf numFmtId="0" fontId="58" fillId="0" borderId="44" xfId="0" applyFont="1" applyBorder="1" applyAlignment="1">
      <alignment horizontal="left"/>
    </xf>
    <xf numFmtId="0" fontId="58" fillId="0" borderId="47" xfId="0" applyFont="1" applyBorder="1" applyAlignment="1">
      <alignment horizontal="left"/>
    </xf>
    <xf numFmtId="0" fontId="58" fillId="0" borderId="51" xfId="0" applyFont="1" applyBorder="1" applyAlignment="1">
      <alignment horizontal="left"/>
    </xf>
    <xf numFmtId="0" fontId="58" fillId="0" borderId="48" xfId="0" applyFont="1" applyBorder="1" applyAlignment="1">
      <alignment horizontal="left"/>
    </xf>
    <xf numFmtId="44" fontId="59" fillId="0" borderId="32" xfId="1" applyFont="1" applyFill="1" applyBorder="1" applyAlignment="1" applyProtection="1">
      <alignment horizontal="center"/>
    </xf>
    <xf numFmtId="8" fontId="59" fillId="0" borderId="31" xfId="0" applyNumberFormat="1" applyFont="1" applyBorder="1" applyAlignment="1">
      <alignment horizontal="center"/>
    </xf>
    <xf numFmtId="44" fontId="59" fillId="0" borderId="34" xfId="1" applyFont="1" applyFill="1" applyBorder="1" applyAlignment="1" applyProtection="1">
      <alignment horizontal="center"/>
    </xf>
    <xf numFmtId="8" fontId="59" fillId="0" borderId="28" xfId="0" applyNumberFormat="1" applyFont="1" applyBorder="1" applyAlignment="1">
      <alignment horizontal="center"/>
    </xf>
    <xf numFmtId="8" fontId="60" fillId="0" borderId="31" xfId="0" applyNumberFormat="1" applyFont="1" applyBorder="1" applyAlignment="1">
      <alignment horizontal="center"/>
    </xf>
    <xf numFmtId="8" fontId="61" fillId="0" borderId="18" xfId="0" applyNumberFormat="1" applyFont="1" applyBorder="1" applyAlignment="1">
      <alignment horizontal="center"/>
    </xf>
    <xf numFmtId="8" fontId="61" fillId="0" borderId="0" xfId="0" applyNumberFormat="1" applyFont="1" applyAlignment="1">
      <alignment horizontal="center"/>
    </xf>
    <xf numFmtId="8" fontId="61" fillId="0" borderId="19" xfId="0" applyNumberFormat="1" applyFont="1" applyBorder="1" applyAlignment="1">
      <alignment horizontal="center"/>
    </xf>
    <xf numFmtId="8" fontId="61" fillId="0" borderId="5" xfId="0" applyNumberFormat="1" applyFont="1" applyBorder="1" applyAlignment="1">
      <alignment horizontal="center"/>
    </xf>
    <xf numFmtId="9" fontId="7" fillId="0" borderId="0" xfId="0" applyNumberFormat="1" applyFont="1" applyAlignment="1">
      <alignment horizontal="center"/>
    </xf>
    <xf numFmtId="0" fontId="15" fillId="0" borderId="0" xfId="0" applyFont="1" applyAlignment="1">
      <alignment horizontal="center"/>
    </xf>
    <xf numFmtId="9" fontId="7" fillId="0" borderId="18" xfId="0" applyNumberFormat="1"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5" fillId="0" borderId="5" xfId="0" applyFont="1" applyBorder="1" applyAlignment="1">
      <alignment horizontal="center"/>
    </xf>
    <xf numFmtId="0" fontId="58" fillId="0" borderId="4" xfId="0" applyFont="1" applyBorder="1" applyAlignment="1">
      <alignment horizontal="left"/>
    </xf>
    <xf numFmtId="165" fontId="7" fillId="7" borderId="32" xfId="0" applyNumberFormat="1" applyFont="1" applyFill="1" applyBorder="1" applyAlignment="1">
      <alignment horizontal="center"/>
    </xf>
    <xf numFmtId="165" fontId="7" fillId="0" borderId="0" xfId="0" applyNumberFormat="1" applyFont="1" applyAlignment="1">
      <alignment horizontal="left"/>
    </xf>
    <xf numFmtId="165" fontId="7" fillId="0" borderId="19" xfId="0" applyNumberFormat="1" applyFont="1" applyBorder="1" applyAlignment="1">
      <alignment horizontal="center"/>
    </xf>
    <xf numFmtId="165" fontId="7" fillId="0" borderId="0" xfId="0" applyNumberFormat="1" applyFont="1" applyAlignment="1">
      <alignment horizontal="center"/>
    </xf>
    <xf numFmtId="165" fontId="7" fillId="0" borderId="5" xfId="0" applyNumberFormat="1" applyFont="1" applyBorder="1" applyAlignment="1">
      <alignment horizontal="center"/>
    </xf>
    <xf numFmtId="2" fontId="7" fillId="7" borderId="22" xfId="0" applyNumberFormat="1" applyFont="1" applyFill="1" applyBorder="1" applyAlignment="1">
      <alignment horizontal="center"/>
    </xf>
    <xf numFmtId="2" fontId="7" fillId="0" borderId="0" xfId="0" applyNumberFormat="1" applyFont="1" applyAlignment="1">
      <alignment horizontal="left"/>
    </xf>
    <xf numFmtId="2" fontId="7" fillId="0" borderId="19" xfId="0" applyNumberFormat="1" applyFont="1" applyBorder="1" applyAlignment="1">
      <alignment horizontal="center"/>
    </xf>
    <xf numFmtId="2" fontId="7" fillId="0" borderId="0" xfId="0" applyNumberFormat="1" applyFont="1" applyAlignment="1">
      <alignment horizontal="center"/>
    </xf>
    <xf numFmtId="2" fontId="7" fillId="0" borderId="5" xfId="0" applyNumberFormat="1" applyFont="1" applyBorder="1" applyAlignment="1">
      <alignment horizontal="center"/>
    </xf>
    <xf numFmtId="0" fontId="15" fillId="0" borderId="4" xfId="0" applyFont="1" applyBorder="1"/>
    <xf numFmtId="2" fontId="7" fillId="0" borderId="18" xfId="0" applyNumberFormat="1" applyFont="1" applyBorder="1" applyAlignment="1">
      <alignment horizontal="center"/>
    </xf>
    <xf numFmtId="0" fontId="7" fillId="0" borderId="58" xfId="0" applyFont="1" applyBorder="1" applyAlignment="1">
      <alignment horizontal="left"/>
    </xf>
    <xf numFmtId="2" fontId="7" fillId="0" borderId="57" xfId="0" applyNumberFormat="1" applyFont="1" applyBorder="1" applyAlignment="1">
      <alignment horizontal="center"/>
    </xf>
    <xf numFmtId="2" fontId="7" fillId="0" borderId="58" xfId="0" applyNumberFormat="1" applyFont="1" applyBorder="1" applyAlignment="1">
      <alignment horizontal="center"/>
    </xf>
    <xf numFmtId="2" fontId="7" fillId="0" borderId="42" xfId="0" applyNumberFormat="1" applyFont="1" applyBorder="1" applyAlignment="1">
      <alignment horizontal="center"/>
    </xf>
    <xf numFmtId="2" fontId="7" fillId="0" borderId="60" xfId="0" applyNumberFormat="1" applyFont="1" applyBorder="1" applyAlignment="1">
      <alignment horizontal="center"/>
    </xf>
    <xf numFmtId="0" fontId="21" fillId="6" borderId="17" xfId="0" applyFont="1" applyFill="1" applyBorder="1" applyAlignment="1" applyProtection="1">
      <alignment horizontal="center"/>
      <protection locked="0"/>
    </xf>
    <xf numFmtId="0" fontId="21" fillId="6" borderId="33" xfId="0" applyFont="1" applyFill="1" applyBorder="1" applyAlignment="1" applyProtection="1">
      <alignment horizontal="center"/>
      <protection locked="0"/>
    </xf>
    <xf numFmtId="1" fontId="16" fillId="0" borderId="17" xfId="0" applyNumberFormat="1" applyFont="1" applyBorder="1" applyAlignment="1" applyProtection="1">
      <alignment horizontal="center"/>
      <protection locked="0"/>
    </xf>
    <xf numFmtId="2" fontId="16" fillId="0" borderId="17" xfId="0" applyNumberFormat="1" applyFont="1" applyBorder="1" applyAlignment="1" applyProtection="1">
      <alignment horizontal="center"/>
      <protection locked="0"/>
    </xf>
    <xf numFmtId="0" fontId="7" fillId="0" borderId="4" xfId="0" applyFont="1" applyBorder="1"/>
    <xf numFmtId="0" fontId="21" fillId="5" borderId="17" xfId="0" applyFont="1" applyFill="1" applyBorder="1" applyAlignment="1">
      <alignment horizontal="center"/>
    </xf>
    <xf numFmtId="0" fontId="21" fillId="5" borderId="33" xfId="0" applyFont="1" applyFill="1" applyBorder="1" applyAlignment="1">
      <alignment horizontal="center"/>
    </xf>
    <xf numFmtId="1" fontId="16" fillId="0" borderId="17" xfId="0" applyNumberFormat="1" applyFont="1" applyBorder="1" applyAlignment="1">
      <alignment horizontal="center"/>
    </xf>
    <xf numFmtId="0" fontId="16" fillId="0" borderId="0" xfId="0" applyFont="1" applyAlignment="1">
      <alignment horizontal="center"/>
    </xf>
    <xf numFmtId="1" fontId="16" fillId="0" borderId="33" xfId="0" applyNumberFormat="1" applyFont="1" applyBorder="1" applyAlignment="1">
      <alignment horizontal="center"/>
    </xf>
    <xf numFmtId="2" fontId="16" fillId="0" borderId="17" xfId="0" applyNumberFormat="1" applyFont="1" applyBorder="1" applyAlignment="1">
      <alignment horizontal="center"/>
    </xf>
    <xf numFmtId="0" fontId="16" fillId="0" borderId="31" xfId="0" applyFont="1" applyBorder="1" applyAlignment="1">
      <alignment horizontal="center"/>
    </xf>
    <xf numFmtId="2" fontId="16" fillId="0" borderId="33" xfId="0" applyNumberFormat="1" applyFont="1" applyBorder="1" applyAlignment="1">
      <alignment horizontal="center"/>
    </xf>
    <xf numFmtId="2" fontId="16" fillId="0" borderId="0" xfId="0" applyNumberFormat="1" applyFont="1" applyAlignment="1">
      <alignment horizontal="center"/>
    </xf>
    <xf numFmtId="2" fontId="16" fillId="0" borderId="5" xfId="0" applyNumberFormat="1" applyFont="1" applyBorder="1" applyAlignment="1">
      <alignment horizontal="center"/>
    </xf>
    <xf numFmtId="0" fontId="15" fillId="0" borderId="4" xfId="0" applyFont="1" applyBorder="1" applyAlignment="1">
      <alignment horizontal="center"/>
    </xf>
    <xf numFmtId="0" fontId="61" fillId="7" borderId="49" xfId="0" applyFont="1" applyFill="1" applyBorder="1" applyAlignment="1">
      <alignment horizontal="center"/>
    </xf>
    <xf numFmtId="2" fontId="30" fillId="0" borderId="0" xfId="0" applyNumberFormat="1" applyFont="1" applyAlignment="1" applyProtection="1">
      <alignment horizontal="right"/>
      <protection locked="0"/>
    </xf>
    <xf numFmtId="44" fontId="32" fillId="8" borderId="17" xfId="0" applyNumberFormat="1" applyFont="1" applyFill="1" applyBorder="1" applyProtection="1">
      <protection locked="0"/>
    </xf>
    <xf numFmtId="0" fontId="30" fillId="0" borderId="0" xfId="0" applyFont="1" applyProtection="1">
      <protection locked="0"/>
    </xf>
    <xf numFmtId="0" fontId="13" fillId="0" borderId="4" xfId="0" applyFont="1" applyBorder="1" applyAlignment="1">
      <alignment horizontal="left" vertical="center"/>
    </xf>
    <xf numFmtId="0" fontId="10" fillId="0" borderId="0" xfId="0" applyFont="1" applyAlignment="1">
      <alignment horizontal="right" vertical="center"/>
    </xf>
    <xf numFmtId="0" fontId="9" fillId="0" borderId="0" xfId="0" applyFont="1" applyAlignment="1">
      <alignment horizontal="right"/>
    </xf>
    <xf numFmtId="0" fontId="9" fillId="0" borderId="5" xfId="0" applyFont="1" applyBorder="1" applyAlignment="1">
      <alignment horizontal="center"/>
    </xf>
    <xf numFmtId="0" fontId="24" fillId="0" borderId="0" xfId="0" applyFont="1"/>
    <xf numFmtId="0" fontId="10" fillId="0" borderId="0" xfId="0" applyFont="1" applyAlignment="1">
      <alignment horizontal="center" wrapText="1"/>
    </xf>
    <xf numFmtId="0" fontId="4" fillId="0" borderId="0" xfId="0" applyFont="1" applyAlignment="1">
      <alignment horizontal="center" wrapText="1"/>
    </xf>
    <xf numFmtId="0" fontId="4" fillId="0" borderId="5" xfId="0" applyFont="1" applyBorder="1" applyAlignment="1">
      <alignment horizontal="center" wrapText="1"/>
    </xf>
    <xf numFmtId="0" fontId="32" fillId="8" borderId="51" xfId="0" applyFont="1" applyFill="1" applyBorder="1" applyProtection="1">
      <protection locked="0"/>
    </xf>
    <xf numFmtId="164" fontId="32" fillId="8" borderId="17" xfId="1" applyNumberFormat="1" applyFont="1" applyFill="1" applyBorder="1" applyAlignment="1" applyProtection="1">
      <alignment horizontal="center"/>
      <protection locked="0"/>
    </xf>
    <xf numFmtId="0" fontId="30" fillId="0" borderId="0" xfId="0" applyFont="1" applyAlignment="1" applyProtection="1">
      <alignment horizontal="center"/>
      <protection locked="0"/>
    </xf>
    <xf numFmtId="167" fontId="32" fillId="8" borderId="17" xfId="2" applyNumberFormat="1" applyFont="1" applyFill="1" applyBorder="1" applyAlignment="1" applyProtection="1">
      <alignment horizontal="center"/>
      <protection locked="0"/>
    </xf>
    <xf numFmtId="165" fontId="4" fillId="0" borderId="0" xfId="0" applyNumberFormat="1" applyFont="1" applyAlignment="1">
      <alignment horizontal="center"/>
    </xf>
    <xf numFmtId="165" fontId="4" fillId="0" borderId="5" xfId="0" applyNumberFormat="1" applyFont="1" applyBorder="1" applyAlignment="1">
      <alignment horizontal="center"/>
    </xf>
    <xf numFmtId="0" fontId="4" fillId="0" borderId="18" xfId="0" applyFont="1" applyBorder="1" applyProtection="1">
      <protection locked="0"/>
    </xf>
    <xf numFmtId="0" fontId="24" fillId="0" borderId="0" xfId="0" applyFont="1" applyProtection="1">
      <protection locked="0"/>
    </xf>
    <xf numFmtId="167" fontId="32" fillId="8" borderId="17" xfId="0" applyNumberFormat="1" applyFont="1" applyFill="1" applyBorder="1" applyAlignment="1" applyProtection="1">
      <alignment horizontal="center"/>
      <protection locked="0"/>
    </xf>
    <xf numFmtId="0" fontId="10" fillId="0" borderId="20" xfId="0" applyFont="1" applyBorder="1" applyAlignment="1">
      <alignment horizontal="center"/>
    </xf>
    <xf numFmtId="0" fontId="10" fillId="0" borderId="8" xfId="0" applyFont="1" applyBorder="1" applyAlignment="1">
      <alignment horizontal="center"/>
    </xf>
    <xf numFmtId="0" fontId="10" fillId="0" borderId="21" xfId="0" applyFont="1" applyBorder="1" applyAlignment="1">
      <alignment horizontal="center"/>
    </xf>
    <xf numFmtId="2" fontId="9" fillId="0" borderId="0" xfId="0" applyNumberFormat="1" applyFont="1" applyAlignment="1">
      <alignment horizontal="center"/>
    </xf>
    <xf numFmtId="8" fontId="10" fillId="0" borderId="0" xfId="0" applyNumberFormat="1" applyFont="1"/>
    <xf numFmtId="8" fontId="10" fillId="0" borderId="5" xfId="0" applyNumberFormat="1" applyFont="1" applyBorder="1"/>
    <xf numFmtId="0" fontId="29" fillId="0" borderId="20" xfId="0" applyFont="1" applyBorder="1" applyAlignment="1">
      <alignment horizontal="left" indent="2"/>
    </xf>
    <xf numFmtId="0" fontId="9" fillId="0" borderId="8" xfId="0" applyFont="1" applyBorder="1" applyAlignment="1">
      <alignment horizontal="center"/>
    </xf>
    <xf numFmtId="0" fontId="32" fillId="0" borderId="0" xfId="0" applyFont="1" applyAlignment="1">
      <alignment horizontal="center"/>
    </xf>
    <xf numFmtId="2" fontId="27" fillId="0" borderId="4" xfId="0" applyNumberFormat="1" applyFont="1" applyBorder="1" applyAlignment="1">
      <alignment horizontal="center"/>
    </xf>
    <xf numFmtId="2" fontId="27" fillId="0" borderId="0" xfId="0" applyNumberFormat="1" applyFont="1" applyAlignment="1">
      <alignment horizontal="center"/>
    </xf>
    <xf numFmtId="44" fontId="4" fillId="0" borderId="0" xfId="0" applyNumberFormat="1" applyFont="1" applyAlignment="1">
      <alignment horizontal="center"/>
    </xf>
    <xf numFmtId="9" fontId="32" fillId="8" borderId="17" xfId="2" applyFont="1" applyFill="1" applyBorder="1" applyAlignment="1" applyProtection="1">
      <alignment horizontal="center"/>
      <protection locked="0"/>
    </xf>
    <xf numFmtId="44" fontId="32" fillId="8" borderId="17" xfId="0" applyNumberFormat="1" applyFont="1" applyFill="1" applyBorder="1" applyAlignment="1" applyProtection="1">
      <alignment horizontal="center"/>
      <protection locked="0"/>
    </xf>
    <xf numFmtId="44" fontId="24" fillId="0" borderId="0" xfId="0" applyNumberFormat="1" applyFont="1" applyAlignment="1">
      <alignment horizontal="center"/>
    </xf>
    <xf numFmtId="0" fontId="4" fillId="0" borderId="8" xfId="0" applyFont="1" applyBorder="1"/>
    <xf numFmtId="0" fontId="4" fillId="0" borderId="8" xfId="0" applyFont="1" applyBorder="1" applyAlignment="1">
      <alignment horizontal="center"/>
    </xf>
    <xf numFmtId="44" fontId="24" fillId="0" borderId="8" xfId="0" applyNumberFormat="1" applyFont="1" applyBorder="1" applyAlignment="1">
      <alignment horizontal="center"/>
    </xf>
    <xf numFmtId="0" fontId="25" fillId="0" borderId="0" xfId="0" applyFont="1" applyAlignment="1">
      <alignment horizontal="center"/>
    </xf>
    <xf numFmtId="8" fontId="32" fillId="8" borderId="17" xfId="0" applyNumberFormat="1" applyFont="1" applyFill="1" applyBorder="1" applyAlignment="1" applyProtection="1">
      <alignment horizontal="center"/>
      <protection locked="0"/>
    </xf>
    <xf numFmtId="8" fontId="32" fillId="8" borderId="17" xfId="0" applyNumberFormat="1" applyFont="1" applyFill="1" applyBorder="1" applyProtection="1">
      <protection locked="0"/>
    </xf>
    <xf numFmtId="8" fontId="4" fillId="0" borderId="0" xfId="0" applyNumberFormat="1" applyFont="1"/>
    <xf numFmtId="6" fontId="32" fillId="8" borderId="17" xfId="0" applyNumberFormat="1" applyFont="1" applyFill="1" applyBorder="1" applyAlignment="1" applyProtection="1">
      <alignment horizontal="center"/>
      <protection locked="0"/>
    </xf>
    <xf numFmtId="8" fontId="12" fillId="0" borderId="17" xfId="0" applyNumberFormat="1" applyFont="1" applyBorder="1" applyAlignment="1">
      <alignment horizontal="center"/>
    </xf>
    <xf numFmtId="0" fontId="4" fillId="0" borderId="8" xfId="0" applyFont="1" applyBorder="1" applyAlignment="1">
      <alignment horizontal="center" wrapText="1"/>
    </xf>
    <xf numFmtId="0" fontId="4" fillId="0" borderId="58" xfId="0" applyFont="1" applyBorder="1"/>
    <xf numFmtId="0" fontId="4" fillId="0" borderId="58" xfId="0" applyFont="1" applyBorder="1" applyAlignment="1">
      <alignment horizontal="center"/>
    </xf>
    <xf numFmtId="0" fontId="4" fillId="0" borderId="58" xfId="0" applyFont="1" applyBorder="1" applyAlignment="1">
      <alignment horizontal="center" wrapText="1"/>
    </xf>
    <xf numFmtId="165" fontId="4" fillId="0" borderId="0" xfId="3" applyNumberFormat="1" applyFont="1" applyFill="1" applyBorder="1" applyAlignment="1">
      <alignment horizontal="center"/>
    </xf>
    <xf numFmtId="165" fontId="32" fillId="8" borderId="17" xfId="0" applyNumberFormat="1" applyFont="1" applyFill="1" applyBorder="1" applyAlignment="1">
      <alignment horizontal="center"/>
    </xf>
    <xf numFmtId="0" fontId="62" fillId="0" borderId="0" xfId="0" applyFont="1"/>
    <xf numFmtId="1" fontId="4" fillId="0" borderId="0" xfId="3" applyNumberFormat="1" applyFont="1" applyFill="1" applyBorder="1" applyAlignment="1">
      <alignment horizontal="center"/>
    </xf>
    <xf numFmtId="0" fontId="4" fillId="0" borderId="61" xfId="0" applyFont="1" applyBorder="1"/>
    <xf numFmtId="1" fontId="4" fillId="0" borderId="61" xfId="3" applyNumberFormat="1" applyFont="1" applyFill="1" applyBorder="1" applyAlignment="1">
      <alignment horizontal="center"/>
    </xf>
    <xf numFmtId="0" fontId="4" fillId="0" borderId="61" xfId="0" quotePrefix="1" applyFont="1" applyBorder="1" applyAlignment="1">
      <alignment horizontal="center"/>
    </xf>
    <xf numFmtId="0" fontId="32" fillId="8" borderId="28" xfId="0" applyFont="1" applyFill="1" applyBorder="1" applyAlignment="1" applyProtection="1">
      <alignment horizontal="center"/>
      <protection locked="0"/>
    </xf>
    <xf numFmtId="0" fontId="62" fillId="0" borderId="61" xfId="0" applyFont="1" applyBorder="1"/>
    <xf numFmtId="5" fontId="32" fillId="8" borderId="17" xfId="3" applyNumberFormat="1" applyFont="1" applyFill="1" applyBorder="1" applyProtection="1"/>
    <xf numFmtId="0" fontId="62" fillId="0" borderId="0" xfId="0" applyFont="1" applyAlignment="1">
      <alignment horizontal="left"/>
    </xf>
    <xf numFmtId="2" fontId="27" fillId="0" borderId="58" xfId="0" applyNumberFormat="1" applyFont="1" applyBorder="1" applyAlignment="1">
      <alignment horizontal="center"/>
    </xf>
    <xf numFmtId="0" fontId="7" fillId="7" borderId="44" xfId="0" applyFont="1" applyFill="1" applyBorder="1" applyAlignment="1">
      <alignment horizontal="center"/>
    </xf>
    <xf numFmtId="0" fontId="21" fillId="10" borderId="17" xfId="0" applyFont="1" applyFill="1" applyBorder="1" applyAlignment="1">
      <alignment horizontal="center"/>
    </xf>
    <xf numFmtId="1" fontId="56" fillId="8" borderId="17" xfId="0" applyNumberFormat="1" applyFont="1" applyFill="1" applyBorder="1" applyAlignment="1" applyProtection="1">
      <alignment horizontal="center"/>
      <protection locked="0"/>
    </xf>
    <xf numFmtId="0" fontId="21" fillId="6" borderId="17" xfId="0" applyFont="1" applyFill="1" applyBorder="1" applyAlignment="1">
      <alignment horizontal="center"/>
    </xf>
    <xf numFmtId="0" fontId="10" fillId="0" borderId="4" xfId="0" applyFont="1" applyBorder="1" applyAlignment="1">
      <alignment horizontal="center"/>
    </xf>
    <xf numFmtId="0" fontId="9" fillId="9" borderId="4" xfId="0" applyFont="1" applyFill="1" applyBorder="1" applyAlignment="1">
      <alignment horizontal="right" vertical="center"/>
    </xf>
    <xf numFmtId="0" fontId="4" fillId="0" borderId="17" xfId="1" applyNumberFormat="1" applyFont="1" applyFill="1" applyBorder="1" applyAlignment="1" applyProtection="1">
      <alignment horizontal="center"/>
      <protection locked="0"/>
    </xf>
    <xf numFmtId="0" fontId="10" fillId="0" borderId="17" xfId="1" applyNumberFormat="1" applyFont="1" applyFill="1" applyBorder="1" applyAlignment="1" applyProtection="1">
      <alignment horizontal="center"/>
      <protection locked="0"/>
    </xf>
    <xf numFmtId="2" fontId="10" fillId="0" borderId="0" xfId="0" applyNumberFormat="1" applyFont="1"/>
    <xf numFmtId="1" fontId="0" fillId="0" borderId="0" xfId="0" applyNumberFormat="1"/>
    <xf numFmtId="0" fontId="0" fillId="0" borderId="18" xfId="0" applyBorder="1"/>
    <xf numFmtId="0" fontId="0" fillId="0" borderId="17" xfId="0" applyBorder="1"/>
    <xf numFmtId="1" fontId="0" fillId="0" borderId="17" xfId="0" applyNumberFormat="1" applyBorder="1" applyAlignment="1">
      <alignment horizontal="center"/>
    </xf>
    <xf numFmtId="0" fontId="4" fillId="0" borderId="17" xfId="0" applyFont="1" applyBorder="1" applyAlignment="1">
      <alignment horizontal="center"/>
    </xf>
    <xf numFmtId="9" fontId="21" fillId="5" borderId="17" xfId="0" applyNumberFormat="1" applyFont="1" applyFill="1" applyBorder="1" applyAlignment="1">
      <alignment horizontal="center"/>
    </xf>
    <xf numFmtId="9" fontId="21" fillId="5" borderId="33" xfId="0" applyNumberFormat="1" applyFont="1" applyFill="1" applyBorder="1" applyAlignment="1">
      <alignment horizontal="center"/>
    </xf>
    <xf numFmtId="9" fontId="16" fillId="4" borderId="17" xfId="0" applyNumberFormat="1" applyFont="1" applyFill="1" applyBorder="1" applyAlignment="1">
      <alignment horizontal="center"/>
    </xf>
    <xf numFmtId="9" fontId="21" fillId="3" borderId="17" xfId="0" applyNumberFormat="1" applyFont="1" applyFill="1" applyBorder="1" applyAlignment="1">
      <alignment horizontal="center"/>
    </xf>
    <xf numFmtId="9" fontId="16" fillId="4" borderId="33" xfId="0" applyNumberFormat="1" applyFont="1" applyFill="1" applyBorder="1" applyAlignment="1">
      <alignment horizontal="center"/>
    </xf>
    <xf numFmtId="9" fontId="21" fillId="3" borderId="33" xfId="0" applyNumberFormat="1" applyFont="1" applyFill="1" applyBorder="1" applyAlignment="1">
      <alignment horizontal="center"/>
    </xf>
    <xf numFmtId="165" fontId="60" fillId="0" borderId="66" xfId="0" applyNumberFormat="1" applyFont="1" applyBorder="1" applyAlignment="1">
      <alignment horizontal="left" vertical="center"/>
    </xf>
    <xf numFmtId="0" fontId="60" fillId="0" borderId="66" xfId="0" applyFont="1" applyBorder="1"/>
    <xf numFmtId="0" fontId="50" fillId="0" borderId="66" xfId="0" applyFont="1" applyBorder="1" applyAlignment="1">
      <alignment horizontal="left"/>
    </xf>
    <xf numFmtId="165" fontId="51" fillId="0" borderId="59" xfId="0" applyNumberFormat="1" applyFont="1" applyBorder="1" applyAlignment="1">
      <alignment horizontal="left" vertical="center"/>
    </xf>
    <xf numFmtId="0" fontId="51" fillId="0" borderId="59" xfId="0" applyFont="1" applyBorder="1"/>
    <xf numFmtId="0" fontId="70" fillId="0" borderId="44" xfId="0" applyFont="1" applyBorder="1" applyAlignment="1">
      <alignment horizontal="left"/>
    </xf>
    <xf numFmtId="0" fontId="71" fillId="8" borderId="17" xfId="0" applyFont="1" applyFill="1" applyBorder="1" applyAlignment="1" applyProtection="1">
      <alignment horizontal="left"/>
      <protection locked="0"/>
    </xf>
    <xf numFmtId="0" fontId="71" fillId="8" borderId="17" xfId="0" applyFont="1" applyFill="1" applyBorder="1" applyAlignment="1" applyProtection="1">
      <alignment horizontal="center"/>
      <protection locked="0"/>
    </xf>
    <xf numFmtId="14" fontId="4" fillId="0" borderId="0" xfId="0" applyNumberFormat="1" applyFont="1"/>
    <xf numFmtId="0" fontId="72" fillId="0" borderId="0" xfId="0" applyFont="1"/>
    <xf numFmtId="49" fontId="72" fillId="0" borderId="0" xfId="0" applyNumberFormat="1" applyFont="1" applyAlignment="1">
      <alignment horizontal="center"/>
    </xf>
    <xf numFmtId="0" fontId="72" fillId="0" borderId="0" xfId="0" applyFont="1" applyAlignment="1">
      <alignment horizontal="center"/>
    </xf>
    <xf numFmtId="0" fontId="29" fillId="0" borderId="0" xfId="0" applyFont="1" applyAlignment="1">
      <alignment horizontal="center"/>
    </xf>
    <xf numFmtId="2" fontId="72" fillId="0" borderId="0" xfId="0" applyNumberFormat="1" applyFont="1" applyAlignment="1">
      <alignment horizontal="center"/>
    </xf>
    <xf numFmtId="0" fontId="71" fillId="8" borderId="17" xfId="0" applyFont="1" applyFill="1" applyBorder="1" applyAlignment="1" applyProtection="1">
      <alignment horizontal="right"/>
      <protection locked="0"/>
    </xf>
    <xf numFmtId="0" fontId="73" fillId="0" borderId="0" xfId="0" applyFont="1" applyAlignment="1">
      <alignment horizontal="left"/>
    </xf>
    <xf numFmtId="0" fontId="55" fillId="14" borderId="0" xfId="0" applyFont="1" applyFill="1" applyAlignment="1">
      <alignment horizontal="center"/>
    </xf>
    <xf numFmtId="0" fontId="23" fillId="14" borderId="12" xfId="0" applyFont="1" applyFill="1" applyBorder="1"/>
    <xf numFmtId="0" fontId="23" fillId="14" borderId="13" xfId="0" applyFont="1" applyFill="1" applyBorder="1"/>
    <xf numFmtId="0" fontId="23" fillId="14" borderId="6" xfId="0" applyFont="1" applyFill="1" applyBorder="1"/>
    <xf numFmtId="0" fontId="20" fillId="0" borderId="0" xfId="0" applyFont="1"/>
    <xf numFmtId="0" fontId="69" fillId="0" borderId="0" xfId="0" applyFont="1"/>
    <xf numFmtId="0" fontId="25" fillId="0" borderId="0" xfId="0" applyFont="1" applyAlignment="1">
      <alignment vertical="center"/>
    </xf>
    <xf numFmtId="9" fontId="32" fillId="8" borderId="51" xfId="0" applyNumberFormat="1" applyFont="1" applyFill="1" applyBorder="1" applyAlignment="1" applyProtection="1">
      <alignment horizontal="center"/>
      <protection locked="0"/>
    </xf>
    <xf numFmtId="0" fontId="4" fillId="0" borderId="0" xfId="1" applyNumberFormat="1" applyFont="1" applyFill="1" applyBorder="1" applyAlignment="1" applyProtection="1">
      <alignment horizontal="right"/>
      <protection locked="0"/>
    </xf>
    <xf numFmtId="44" fontId="24" fillId="0" borderId="0" xfId="1" applyFont="1" applyFill="1" applyBorder="1" applyAlignment="1" applyProtection="1">
      <alignment horizontal="right"/>
    </xf>
    <xf numFmtId="2" fontId="32" fillId="8" borderId="17" xfId="1" applyNumberFormat="1" applyFont="1" applyFill="1" applyBorder="1" applyAlignment="1" applyProtection="1">
      <alignment horizontal="right"/>
      <protection locked="0"/>
    </xf>
    <xf numFmtId="0" fontId="4" fillId="0" borderId="0" xfId="1" applyNumberFormat="1" applyFont="1" applyFill="1" applyBorder="1" applyAlignment="1" applyProtection="1">
      <alignment horizontal="right"/>
    </xf>
    <xf numFmtId="1" fontId="10" fillId="0" borderId="17" xfId="0" applyNumberFormat="1" applyFont="1" applyBorder="1" applyAlignment="1">
      <alignment horizontal="center"/>
    </xf>
    <xf numFmtId="1" fontId="10" fillId="0" borderId="33" xfId="0" applyNumberFormat="1" applyFont="1" applyBorder="1" applyAlignment="1">
      <alignment horizontal="center"/>
    </xf>
    <xf numFmtId="1" fontId="10" fillId="0" borderId="0" xfId="0" applyNumberFormat="1" applyFont="1" applyAlignment="1" applyProtection="1">
      <alignment horizontal="center"/>
      <protection locked="0"/>
    </xf>
    <xf numFmtId="0" fontId="10" fillId="0" borderId="10" xfId="0" applyFont="1" applyBorder="1"/>
    <xf numFmtId="0" fontId="10" fillId="0" borderId="11" xfId="0" applyFont="1" applyBorder="1"/>
    <xf numFmtId="0" fontId="10" fillId="0" borderId="0" xfId="0" applyFont="1" applyAlignment="1" applyProtection="1">
      <alignment horizontal="center"/>
      <protection locked="0"/>
    </xf>
    <xf numFmtId="9" fontId="11" fillId="0" borderId="4" xfId="0" applyNumberFormat="1" applyFont="1" applyBorder="1" applyAlignment="1">
      <alignment horizontal="center"/>
    </xf>
    <xf numFmtId="2" fontId="30" fillId="0" borderId="0" xfId="1" applyNumberFormat="1" applyFont="1" applyFill="1" applyBorder="1" applyAlignment="1" applyProtection="1">
      <alignment horizontal="right"/>
      <protection locked="0"/>
    </xf>
    <xf numFmtId="2" fontId="10" fillId="0" borderId="0" xfId="0" applyNumberFormat="1" applyFont="1" applyAlignment="1" applyProtection="1">
      <alignment horizontal="center"/>
      <protection locked="0"/>
    </xf>
    <xf numFmtId="0" fontId="47" fillId="0" borderId="5" xfId="0" applyFont="1" applyBorder="1" applyAlignment="1">
      <alignment horizontal="center"/>
    </xf>
    <xf numFmtId="0" fontId="10" fillId="0" borderId="64" xfId="0" applyFont="1" applyBorder="1" applyAlignment="1">
      <alignment horizontal="center"/>
    </xf>
    <xf numFmtId="0" fontId="41" fillId="0" borderId="14" xfId="0" applyFont="1" applyBorder="1"/>
    <xf numFmtId="0" fontId="41" fillId="0" borderId="61" xfId="0" applyFont="1" applyBorder="1"/>
    <xf numFmtId="44" fontId="10" fillId="0" borderId="14" xfId="0" applyNumberFormat="1" applyFont="1" applyBorder="1"/>
    <xf numFmtId="0" fontId="74" fillId="0" borderId="5" xfId="0" applyFont="1" applyBorder="1" applyAlignment="1" applyProtection="1">
      <alignment horizontal="center"/>
      <protection locked="0"/>
    </xf>
    <xf numFmtId="0" fontId="74" fillId="0" borderId="6" xfId="0" applyFont="1" applyBorder="1" applyProtection="1">
      <protection locked="0"/>
    </xf>
    <xf numFmtId="9" fontId="10" fillId="0" borderId="0" xfId="0" applyNumberFormat="1" applyFont="1" applyAlignment="1" applyProtection="1">
      <alignment horizontal="center"/>
      <protection locked="0"/>
    </xf>
    <xf numFmtId="9" fontId="7" fillId="7" borderId="17" xfId="2" applyFont="1" applyFill="1" applyBorder="1" applyAlignment="1" applyProtection="1">
      <alignment horizontal="center"/>
    </xf>
    <xf numFmtId="0" fontId="25" fillId="14" borderId="17" xfId="0" applyFont="1" applyFill="1" applyBorder="1" applyAlignment="1">
      <alignment horizontal="center"/>
    </xf>
    <xf numFmtId="0" fontId="25" fillId="14" borderId="33" xfId="0" applyFont="1" applyFill="1" applyBorder="1" applyAlignment="1">
      <alignment horizontal="center"/>
    </xf>
    <xf numFmtId="0" fontId="25" fillId="14" borderId="22" xfId="0" applyFont="1" applyFill="1" applyBorder="1" applyAlignment="1">
      <alignment horizontal="center"/>
    </xf>
    <xf numFmtId="0" fontId="25" fillId="14" borderId="23" xfId="0" applyFont="1" applyFill="1" applyBorder="1" applyAlignment="1">
      <alignment horizontal="center"/>
    </xf>
    <xf numFmtId="0" fontId="15" fillId="9" borderId="0" xfId="0" applyFont="1" applyFill="1"/>
    <xf numFmtId="0" fontId="15" fillId="9" borderId="0" xfId="0" applyFont="1" applyFill="1" applyProtection="1">
      <protection locked="0"/>
    </xf>
    <xf numFmtId="0" fontId="15" fillId="9" borderId="0" xfId="0" applyFont="1" applyFill="1" applyAlignment="1" applyProtection="1">
      <alignment horizontal="center"/>
      <protection locked="0"/>
    </xf>
    <xf numFmtId="1" fontId="15" fillId="9" borderId="0" xfId="0" applyNumberFormat="1" applyFont="1" applyFill="1" applyAlignment="1" applyProtection="1">
      <alignment horizontal="center"/>
      <protection locked="0"/>
    </xf>
    <xf numFmtId="0" fontId="19" fillId="9" borderId="0" xfId="0" applyFont="1" applyFill="1" applyProtection="1">
      <protection locked="0"/>
    </xf>
    <xf numFmtId="1" fontId="16" fillId="9" borderId="0" xfId="0" applyNumberFormat="1" applyFont="1" applyFill="1" applyAlignment="1" applyProtection="1">
      <alignment horizontal="center"/>
      <protection locked="0"/>
    </xf>
    <xf numFmtId="1" fontId="16" fillId="9" borderId="0" xfId="0" applyNumberFormat="1" applyFont="1" applyFill="1" applyAlignment="1">
      <alignment horizontal="center"/>
    </xf>
    <xf numFmtId="0" fontId="15" fillId="9" borderId="21" xfId="0" applyFont="1" applyFill="1" applyBorder="1"/>
    <xf numFmtId="0" fontId="15" fillId="9" borderId="8" xfId="0" applyFont="1" applyFill="1" applyBorder="1"/>
    <xf numFmtId="0" fontId="15" fillId="9" borderId="20" xfId="0" applyFont="1" applyFill="1" applyBorder="1"/>
    <xf numFmtId="0" fontId="16" fillId="9" borderId="0" xfId="0" applyFont="1" applyFill="1" applyAlignment="1">
      <alignment horizontal="center"/>
    </xf>
    <xf numFmtId="0" fontId="15" fillId="9" borderId="18" xfId="0" applyFont="1" applyFill="1" applyBorder="1"/>
    <xf numFmtId="1" fontId="16" fillId="9" borderId="19" xfId="0" applyNumberFormat="1" applyFont="1" applyFill="1" applyBorder="1" applyAlignment="1">
      <alignment horizontal="center"/>
    </xf>
    <xf numFmtId="0" fontId="7" fillId="9" borderId="0" xfId="0" applyFont="1" applyFill="1" applyAlignment="1">
      <alignment horizontal="center"/>
    </xf>
    <xf numFmtId="1" fontId="16" fillId="9" borderId="18" xfId="0" applyNumberFormat="1" applyFont="1" applyFill="1" applyBorder="1" applyAlignment="1">
      <alignment horizontal="center"/>
    </xf>
    <xf numFmtId="0" fontId="21" fillId="14" borderId="17" xfId="0" applyFont="1" applyFill="1" applyBorder="1" applyAlignment="1">
      <alignment horizontal="center"/>
    </xf>
    <xf numFmtId="1" fontId="16" fillId="9" borderId="17" xfId="0" applyNumberFormat="1" applyFont="1" applyFill="1" applyBorder="1" applyAlignment="1">
      <alignment horizontal="center"/>
    </xf>
    <xf numFmtId="0" fontId="21" fillId="14" borderId="42" xfId="0" applyFont="1" applyFill="1" applyBorder="1" applyAlignment="1">
      <alignment horizontal="center"/>
    </xf>
    <xf numFmtId="0" fontId="21" fillId="14" borderId="57" xfId="0" applyFont="1" applyFill="1" applyBorder="1" applyAlignment="1">
      <alignment horizontal="center"/>
    </xf>
    <xf numFmtId="0" fontId="29" fillId="9" borderId="0" xfId="0" applyFont="1" applyFill="1" applyAlignment="1">
      <alignment vertical="center"/>
    </xf>
    <xf numFmtId="0" fontId="21" fillId="14" borderId="22" xfId="0" applyFont="1" applyFill="1" applyBorder="1" applyAlignment="1">
      <alignment horizontal="center"/>
    </xf>
    <xf numFmtId="0" fontId="66" fillId="9" borderId="0" xfId="0" applyFont="1" applyFill="1" applyAlignment="1">
      <alignment horizontal="center"/>
    </xf>
    <xf numFmtId="0" fontId="67" fillId="9" borderId="0" xfId="0" applyFont="1" applyFill="1"/>
    <xf numFmtId="1" fontId="21" fillId="9" borderId="17" xfId="0" applyNumberFormat="1" applyFont="1" applyFill="1" applyBorder="1" applyAlignment="1">
      <alignment horizontal="center"/>
    </xf>
    <xf numFmtId="0" fontId="35" fillId="9" borderId="19" xfId="0" applyFont="1" applyFill="1" applyBorder="1" applyAlignment="1">
      <alignment horizontal="center" wrapText="1"/>
    </xf>
    <xf numFmtId="0" fontId="15" fillId="9" borderId="19" xfId="0" applyFont="1" applyFill="1" applyBorder="1"/>
    <xf numFmtId="1" fontId="56" fillId="9" borderId="37" xfId="0" applyNumberFormat="1" applyFont="1" applyFill="1" applyBorder="1" applyAlignment="1" applyProtection="1">
      <alignment horizontal="center"/>
      <protection locked="0"/>
    </xf>
    <xf numFmtId="1" fontId="56" fillId="9" borderId="10" xfId="0" applyNumberFormat="1" applyFont="1" applyFill="1" applyBorder="1" applyAlignment="1" applyProtection="1">
      <alignment horizontal="center"/>
      <protection locked="0"/>
    </xf>
    <xf numFmtId="1" fontId="56" fillId="9" borderId="36" xfId="0" applyNumberFormat="1" applyFont="1" applyFill="1" applyBorder="1" applyAlignment="1" applyProtection="1">
      <alignment horizontal="center"/>
      <protection locked="0"/>
    </xf>
    <xf numFmtId="0" fontId="16" fillId="9" borderId="0" xfId="0" applyFont="1" applyFill="1" applyAlignment="1">
      <alignment horizontal="center" vertical="center"/>
    </xf>
    <xf numFmtId="0" fontId="78" fillId="9" borderId="0" xfId="0" applyFont="1" applyFill="1"/>
    <xf numFmtId="0" fontId="15" fillId="9" borderId="0" xfId="0" applyFont="1" applyFill="1" applyAlignment="1">
      <alignment horizontal="center"/>
    </xf>
    <xf numFmtId="0" fontId="21" fillId="9" borderId="0" xfId="0" applyFont="1" applyFill="1" applyAlignment="1">
      <alignment horizontal="center" vertical="center"/>
    </xf>
    <xf numFmtId="0" fontId="21" fillId="9" borderId="0" xfId="0" applyFont="1" applyFill="1" applyAlignment="1">
      <alignment horizontal="center"/>
    </xf>
    <xf numFmtId="0" fontId="21" fillId="2" borderId="17" xfId="0" applyFont="1" applyFill="1" applyBorder="1" applyAlignment="1">
      <alignment horizontal="center"/>
    </xf>
    <xf numFmtId="0" fontId="35" fillId="9" borderId="37" xfId="0" applyFont="1" applyFill="1" applyBorder="1" applyAlignment="1">
      <alignment horizontal="center"/>
    </xf>
    <xf numFmtId="0" fontId="35" fillId="9" borderId="10" xfId="0" applyFont="1" applyFill="1" applyBorder="1" applyAlignment="1">
      <alignment horizontal="center"/>
    </xf>
    <xf numFmtId="0" fontId="35" fillId="9" borderId="36" xfId="0" applyFont="1" applyFill="1" applyBorder="1" applyAlignment="1">
      <alignment horizontal="center"/>
    </xf>
    <xf numFmtId="0" fontId="72" fillId="9" borderId="19" xfId="0" applyFont="1" applyFill="1" applyBorder="1" applyAlignment="1">
      <alignment horizontal="left"/>
    </xf>
    <xf numFmtId="0" fontId="72" fillId="9" borderId="0" xfId="0" applyFont="1" applyFill="1" applyAlignment="1">
      <alignment horizontal="left"/>
    </xf>
    <xf numFmtId="0" fontId="72" fillId="9" borderId="18" xfId="0" applyFont="1" applyFill="1" applyBorder="1" applyAlignment="1">
      <alignment horizontal="left"/>
    </xf>
    <xf numFmtId="2" fontId="16" fillId="9" borderId="18" xfId="0" applyNumberFormat="1" applyFont="1" applyFill="1" applyBorder="1" applyAlignment="1">
      <alignment horizontal="center"/>
    </xf>
    <xf numFmtId="0" fontId="57" fillId="8" borderId="17" xfId="0" applyFont="1" applyFill="1" applyBorder="1" applyAlignment="1" applyProtection="1">
      <alignment horizontal="center"/>
      <protection locked="0"/>
    </xf>
    <xf numFmtId="0" fontId="0" fillId="9" borderId="57" xfId="0" applyFill="1" applyBorder="1"/>
    <xf numFmtId="0" fontId="35" fillId="9" borderId="19" xfId="0" applyFont="1" applyFill="1" applyBorder="1" applyAlignment="1">
      <alignment horizontal="center"/>
    </xf>
    <xf numFmtId="0" fontId="35" fillId="9" borderId="0" xfId="0" applyFont="1" applyFill="1" applyAlignment="1">
      <alignment horizontal="center"/>
    </xf>
    <xf numFmtId="0" fontId="67" fillId="9" borderId="0" xfId="0" applyFont="1" applyFill="1" applyAlignment="1">
      <alignment horizontal="center"/>
    </xf>
    <xf numFmtId="0" fontId="80" fillId="9" borderId="0" xfId="0" applyFont="1" applyFill="1" applyAlignment="1">
      <alignment horizontal="left"/>
    </xf>
    <xf numFmtId="0" fontId="64" fillId="0" borderId="0" xfId="0" applyFont="1" applyProtection="1">
      <protection locked="0"/>
    </xf>
    <xf numFmtId="0" fontId="81" fillId="9" borderId="0" xfId="4" applyFont="1" applyFill="1" applyProtection="1"/>
    <xf numFmtId="0" fontId="80" fillId="9" borderId="0" xfId="0" applyFont="1" applyFill="1"/>
    <xf numFmtId="0" fontId="0" fillId="9" borderId="17" xfId="0" applyFill="1" applyBorder="1" applyAlignment="1">
      <alignment horizontal="center"/>
    </xf>
    <xf numFmtId="1" fontId="16" fillId="9" borderId="0" xfId="0" applyNumberFormat="1" applyFont="1" applyFill="1" applyAlignment="1">
      <alignment horizontal="center" vertical="center"/>
    </xf>
    <xf numFmtId="0" fontId="15" fillId="9" borderId="0" xfId="0" applyFont="1" applyFill="1" applyAlignment="1">
      <alignment wrapText="1"/>
    </xf>
    <xf numFmtId="0" fontId="21" fillId="15" borderId="17" xfId="0" applyFont="1" applyFill="1" applyBorder="1" applyAlignment="1">
      <alignment horizontal="center"/>
    </xf>
    <xf numFmtId="0" fontId="15" fillId="9" borderId="6" xfId="0" applyFont="1" applyFill="1" applyBorder="1"/>
    <xf numFmtId="0" fontId="15" fillId="9" borderId="13" xfId="0" applyFont="1" applyFill="1" applyBorder="1"/>
    <xf numFmtId="1" fontId="15" fillId="9" borderId="12" xfId="0" applyNumberFormat="1" applyFont="1" applyFill="1" applyBorder="1"/>
    <xf numFmtId="0" fontId="21" fillId="12" borderId="17" xfId="0" applyFont="1" applyFill="1" applyBorder="1" applyAlignment="1">
      <alignment horizontal="center"/>
    </xf>
    <xf numFmtId="0" fontId="15" fillId="9" borderId="38" xfId="0" applyFont="1" applyFill="1" applyBorder="1" applyAlignment="1">
      <alignment horizontal="center"/>
    </xf>
    <xf numFmtId="1" fontId="56" fillId="8" borderId="69" xfId="0" applyNumberFormat="1" applyFont="1" applyFill="1" applyBorder="1" applyAlignment="1" applyProtection="1">
      <alignment horizontal="center"/>
      <protection locked="0"/>
    </xf>
    <xf numFmtId="0" fontId="15" fillId="9" borderId="4" xfId="0" applyFont="1" applyFill="1" applyBorder="1" applyAlignment="1">
      <alignment horizontal="center"/>
    </xf>
    <xf numFmtId="0" fontId="15" fillId="9" borderId="5" xfId="0" applyFont="1" applyFill="1" applyBorder="1"/>
    <xf numFmtId="0" fontId="35" fillId="9" borderId="4" xfId="0" applyFont="1" applyFill="1" applyBorder="1" applyAlignment="1">
      <alignment horizontal="center"/>
    </xf>
    <xf numFmtId="0" fontId="81" fillId="9" borderId="0" xfId="4" applyFont="1" applyFill="1" applyAlignment="1" applyProtection="1">
      <alignment horizontal="left"/>
    </xf>
    <xf numFmtId="0" fontId="7" fillId="9" borderId="0" xfId="0" applyFont="1" applyFill="1" applyAlignment="1">
      <alignment horizontal="left"/>
    </xf>
    <xf numFmtId="0" fontId="7" fillId="9" borderId="31" xfId="0" applyFont="1" applyFill="1" applyBorder="1" applyAlignment="1">
      <alignment horizontal="center"/>
    </xf>
    <xf numFmtId="0" fontId="48" fillId="9" borderId="0" xfId="4" applyFill="1" applyAlignment="1" applyProtection="1"/>
    <xf numFmtId="0" fontId="21" fillId="16" borderId="17" xfId="0" applyFont="1" applyFill="1" applyBorder="1" applyAlignment="1">
      <alignment horizontal="center"/>
    </xf>
    <xf numFmtId="1" fontId="4" fillId="0" borderId="0" xfId="0" applyNumberFormat="1" applyFont="1"/>
    <xf numFmtId="0" fontId="14" fillId="0" borderId="0" xfId="0" applyFont="1" applyProtection="1">
      <protection locked="0"/>
    </xf>
    <xf numFmtId="0" fontId="4" fillId="0" borderId="8" xfId="0" applyFont="1" applyBorder="1" applyAlignment="1" applyProtection="1">
      <alignment horizontal="center" wrapText="1"/>
      <protection locked="0"/>
    </xf>
    <xf numFmtId="0" fontId="27" fillId="8" borderId="17" xfId="0" applyFont="1" applyFill="1" applyBorder="1" applyAlignment="1" applyProtection="1">
      <alignment horizontal="center"/>
      <protection locked="0"/>
    </xf>
    <xf numFmtId="1" fontId="4" fillId="0" borderId="0" xfId="0" applyNumberFormat="1" applyFont="1" applyAlignment="1">
      <alignment horizontal="center"/>
    </xf>
    <xf numFmtId="0" fontId="65" fillId="0" borderId="0" xfId="4" applyFont="1" applyFill="1" applyProtection="1"/>
    <xf numFmtId="0" fontId="83" fillId="0" borderId="0" xfId="0" applyFont="1" applyAlignment="1">
      <alignment horizontal="left"/>
    </xf>
    <xf numFmtId="0" fontId="3" fillId="0" borderId="0" xfId="0" applyFont="1" applyAlignment="1">
      <alignment wrapText="1"/>
    </xf>
    <xf numFmtId="49" fontId="0" fillId="0" borderId="0" xfId="0" applyNumberFormat="1"/>
    <xf numFmtId="0" fontId="0" fillId="0" borderId="0" xfId="0" quotePrefix="1"/>
    <xf numFmtId="0" fontId="14" fillId="9" borderId="0" xfId="0" applyFont="1" applyFill="1" applyAlignment="1">
      <alignment horizontal="center" vertical="center"/>
    </xf>
    <xf numFmtId="2" fontId="16" fillId="9" borderId="17" xfId="0" applyNumberFormat="1" applyFont="1" applyFill="1" applyBorder="1" applyAlignment="1">
      <alignment horizontal="center"/>
    </xf>
    <xf numFmtId="2" fontId="16" fillId="9" borderId="37" xfId="0" applyNumberFormat="1" applyFont="1" applyFill="1" applyBorder="1" applyAlignment="1">
      <alignment horizontal="center"/>
    </xf>
    <xf numFmtId="0" fontId="4" fillId="0" borderId="4" xfId="0" applyFont="1" applyBorder="1" applyAlignment="1" applyProtection="1">
      <alignment wrapText="1"/>
      <protection locked="0"/>
    </xf>
    <xf numFmtId="1" fontId="16" fillId="0" borderId="18" xfId="0" applyNumberFormat="1" applyFont="1" applyBorder="1" applyAlignment="1" applyProtection="1">
      <alignment horizontal="center"/>
      <protection locked="0"/>
    </xf>
    <xf numFmtId="1" fontId="16" fillId="0" borderId="19" xfId="0" applyNumberFormat="1" applyFont="1" applyBorder="1" applyAlignment="1" applyProtection="1">
      <alignment horizontal="center"/>
      <protection locked="0"/>
    </xf>
    <xf numFmtId="0" fontId="21" fillId="11" borderId="17" xfId="0" applyFont="1" applyFill="1" applyBorder="1" applyAlignment="1" applyProtection="1">
      <alignment horizontal="center"/>
      <protection locked="0"/>
    </xf>
    <xf numFmtId="0" fontId="21" fillId="11" borderId="33" xfId="0" applyFont="1" applyFill="1" applyBorder="1" applyAlignment="1" applyProtection="1">
      <alignment horizontal="center"/>
      <protection locked="0"/>
    </xf>
    <xf numFmtId="0" fontId="25" fillId="14" borderId="44" xfId="0" applyFont="1" applyFill="1" applyBorder="1" applyAlignment="1">
      <alignment horizontal="center"/>
    </xf>
    <xf numFmtId="0" fontId="25" fillId="14" borderId="51" xfId="0" applyFont="1" applyFill="1" applyBorder="1" applyAlignment="1">
      <alignment horizontal="center"/>
    </xf>
    <xf numFmtId="0" fontId="25" fillId="14" borderId="4" xfId="0" applyFont="1" applyFill="1" applyBorder="1" applyAlignment="1">
      <alignment horizontal="center"/>
    </xf>
    <xf numFmtId="1" fontId="9" fillId="9" borderId="51" xfId="0" quotePrefix="1" applyNumberFormat="1" applyFont="1" applyFill="1" applyBorder="1" applyAlignment="1">
      <alignment horizontal="center"/>
    </xf>
    <xf numFmtId="1" fontId="9" fillId="9" borderId="62" xfId="0" quotePrefix="1" applyNumberFormat="1" applyFont="1" applyFill="1" applyBorder="1" applyAlignment="1">
      <alignment horizontal="center"/>
    </xf>
    <xf numFmtId="1" fontId="9" fillId="9" borderId="69" xfId="0" quotePrefix="1" applyNumberFormat="1" applyFont="1" applyFill="1" applyBorder="1" applyAlignment="1">
      <alignment horizontal="center"/>
    </xf>
    <xf numFmtId="1" fontId="9" fillId="9" borderId="63" xfId="0" quotePrefix="1" applyNumberFormat="1" applyFont="1" applyFill="1" applyBorder="1" applyAlignment="1">
      <alignment horizontal="center"/>
    </xf>
    <xf numFmtId="0" fontId="9" fillId="9" borderId="2" xfId="0" applyFont="1" applyFill="1" applyBorder="1" applyAlignment="1">
      <alignment vertical="center"/>
    </xf>
    <xf numFmtId="0" fontId="9" fillId="9" borderId="0" xfId="0" applyFont="1" applyFill="1" applyAlignment="1">
      <alignment vertical="center"/>
    </xf>
    <xf numFmtId="0" fontId="9" fillId="9" borderId="13" xfId="0" applyFont="1" applyFill="1" applyBorder="1" applyAlignment="1">
      <alignment vertical="center"/>
    </xf>
    <xf numFmtId="0" fontId="16" fillId="9" borderId="12" xfId="0" applyFont="1" applyFill="1" applyBorder="1" applyAlignment="1">
      <alignment vertical="center"/>
    </xf>
    <xf numFmtId="0" fontId="7" fillId="0" borderId="4" xfId="0" applyFont="1" applyBorder="1" applyProtection="1">
      <protection locked="0"/>
    </xf>
    <xf numFmtId="0" fontId="4" fillId="0" borderId="19" xfId="0" applyFont="1" applyBorder="1" applyAlignment="1">
      <alignment horizontal="center" wrapText="1"/>
    </xf>
    <xf numFmtId="8" fontId="84" fillId="0" borderId="19" xfId="0" applyNumberFormat="1" applyFont="1" applyBorder="1" applyAlignment="1">
      <alignment horizontal="left"/>
    </xf>
    <xf numFmtId="8" fontId="84" fillId="0" borderId="30" xfId="0" applyNumberFormat="1" applyFont="1" applyBorder="1" applyAlignment="1">
      <alignment horizontal="left"/>
    </xf>
    <xf numFmtId="0" fontId="32" fillId="0" borderId="0" xfId="0" applyFont="1" applyAlignment="1">
      <alignment horizontal="right"/>
    </xf>
    <xf numFmtId="166" fontId="4" fillId="0" borderId="0" xfId="0" applyNumberFormat="1" applyFont="1"/>
    <xf numFmtId="0" fontId="0" fillId="0" borderId="0" xfId="0" applyAlignment="1">
      <alignment horizontal="right"/>
    </xf>
    <xf numFmtId="44" fontId="32" fillId="8" borderId="36" xfId="1" applyFont="1" applyFill="1" applyBorder="1" applyAlignment="1" applyProtection="1">
      <alignment horizontal="center"/>
      <protection locked="0"/>
    </xf>
    <xf numFmtId="165" fontId="4" fillId="0" borderId="20" xfId="0" applyNumberFormat="1" applyFont="1" applyBorder="1" applyAlignment="1">
      <alignment horizontal="center"/>
    </xf>
    <xf numFmtId="165" fontId="4" fillId="0" borderId="8" xfId="0" applyNumberFormat="1" applyFont="1" applyBorder="1" applyAlignment="1">
      <alignment horizontal="center"/>
    </xf>
    <xf numFmtId="165" fontId="4" fillId="0" borderId="21" xfId="0" applyNumberFormat="1" applyFont="1" applyBorder="1" applyAlignment="1">
      <alignment horizontal="center"/>
    </xf>
    <xf numFmtId="9" fontId="32" fillId="8" borderId="32" xfId="2" applyFont="1" applyFill="1" applyBorder="1" applyAlignment="1" applyProtection="1">
      <alignment horizontal="center"/>
      <protection locked="0"/>
    </xf>
    <xf numFmtId="0" fontId="48" fillId="0" borderId="0" xfId="4" applyFill="1"/>
    <xf numFmtId="166" fontId="10" fillId="0" borderId="17" xfId="0" applyNumberFormat="1" applyFont="1" applyBorder="1" applyAlignment="1">
      <alignment horizontal="center"/>
    </xf>
    <xf numFmtId="166" fontId="10" fillId="0" borderId="33" xfId="0" applyNumberFormat="1" applyFont="1" applyBorder="1" applyAlignment="1">
      <alignment horizontal="center"/>
    </xf>
    <xf numFmtId="0" fontId="4" fillId="0" borderId="5" xfId="0" applyFont="1" applyBorder="1" applyAlignment="1">
      <alignment wrapText="1"/>
    </xf>
    <xf numFmtId="1" fontId="9" fillId="0" borderId="17" xfId="0" applyNumberFormat="1" applyFont="1" applyBorder="1" applyAlignment="1">
      <alignment horizontal="center"/>
    </xf>
    <xf numFmtId="0" fontId="0" fillId="0" borderId="5" xfId="0" applyBorder="1" applyProtection="1">
      <protection locked="0"/>
    </xf>
    <xf numFmtId="0" fontId="0" fillId="0" borderId="4" xfId="0" applyBorder="1" applyProtection="1">
      <protection locked="0"/>
    </xf>
    <xf numFmtId="0" fontId="0" fillId="0" borderId="12" xfId="0" applyBorder="1" applyProtection="1">
      <protection locked="0"/>
    </xf>
    <xf numFmtId="0" fontId="0" fillId="0" borderId="13" xfId="0" applyBorder="1" applyProtection="1">
      <protection locked="0"/>
    </xf>
    <xf numFmtId="0" fontId="41" fillId="0" borderId="13" xfId="0" applyFont="1" applyBorder="1"/>
    <xf numFmtId="44" fontId="10" fillId="0" borderId="13" xfId="0" applyNumberFormat="1" applyFont="1" applyBorder="1"/>
    <xf numFmtId="0" fontId="74" fillId="0" borderId="0" xfId="0" applyFont="1" applyAlignment="1" applyProtection="1">
      <alignment horizontal="center"/>
      <protection locked="0"/>
    </xf>
    <xf numFmtId="0" fontId="58" fillId="0" borderId="46" xfId="0" applyFont="1" applyBorder="1" applyAlignment="1">
      <alignment horizontal="left" indent="2"/>
    </xf>
    <xf numFmtId="0" fontId="29" fillId="0" borderId="19" xfId="0" applyFont="1" applyBorder="1" applyAlignment="1">
      <alignment horizontal="left"/>
    </xf>
    <xf numFmtId="1" fontId="16" fillId="0" borderId="31" xfId="0" applyNumberFormat="1" applyFont="1" applyBorder="1" applyAlignment="1">
      <alignment horizontal="center"/>
    </xf>
    <xf numFmtId="44" fontId="4" fillId="9" borderId="0" xfId="1" applyFont="1" applyFill="1" applyBorder="1" applyAlignment="1" applyProtection="1">
      <alignment horizontal="right"/>
    </xf>
    <xf numFmtId="0" fontId="6" fillId="0" borderId="0" xfId="0" applyFont="1"/>
    <xf numFmtId="0" fontId="9" fillId="0" borderId="0" xfId="0" applyFont="1" applyAlignment="1">
      <alignment vertical="center"/>
    </xf>
    <xf numFmtId="0" fontId="16" fillId="0" borderId="0" xfId="0" applyFont="1" applyAlignment="1">
      <alignment horizontal="center" vertical="center"/>
    </xf>
    <xf numFmtId="0" fontId="85" fillId="0" borderId="0" xfId="0" applyFont="1" applyAlignment="1" applyProtection="1">
      <alignment horizontal="center"/>
      <protection locked="0"/>
    </xf>
    <xf numFmtId="3" fontId="16" fillId="0" borderId="0" xfId="3" applyNumberFormat="1" applyFont="1" applyAlignment="1">
      <alignment horizontal="center"/>
    </xf>
    <xf numFmtId="168" fontId="7" fillId="0" borderId="0" xfId="0" applyNumberFormat="1" applyFont="1" applyAlignment="1">
      <alignment horizontal="center"/>
    </xf>
    <xf numFmtId="0" fontId="19" fillId="0" borderId="0" xfId="0" applyFont="1" applyAlignment="1" applyProtection="1">
      <alignment horizontal="center"/>
      <protection locked="0"/>
    </xf>
    <xf numFmtId="0" fontId="4" fillId="9" borderId="5" xfId="0" applyFont="1" applyFill="1" applyBorder="1" applyAlignment="1">
      <alignment horizontal="left" vertical="center"/>
    </xf>
    <xf numFmtId="0" fontId="27" fillId="0" borderId="0" xfId="0" applyFont="1" applyAlignment="1">
      <alignment horizontal="center"/>
    </xf>
    <xf numFmtId="0" fontId="4" fillId="9" borderId="0" xfId="0" applyFont="1" applyFill="1" applyAlignment="1">
      <alignment horizontal="left" vertical="center"/>
    </xf>
    <xf numFmtId="0" fontId="1" fillId="9" borderId="0" xfId="0" applyFont="1" applyFill="1" applyAlignment="1">
      <alignment horizontal="left" vertical="center"/>
    </xf>
    <xf numFmtId="165" fontId="58" fillId="0" borderId="40" xfId="1" applyNumberFormat="1" applyFont="1" applyFill="1" applyBorder="1" applyAlignment="1" applyProtection="1">
      <alignment horizontal="center"/>
    </xf>
    <xf numFmtId="165" fontId="59" fillId="0" borderId="40" xfId="0" applyNumberFormat="1" applyFont="1" applyBorder="1" applyAlignment="1">
      <alignment horizontal="center"/>
    </xf>
    <xf numFmtId="165" fontId="59" fillId="0" borderId="40" xfId="1" applyNumberFormat="1" applyFont="1" applyFill="1" applyBorder="1" applyAlignment="1" applyProtection="1">
      <alignment horizontal="center"/>
    </xf>
    <xf numFmtId="165" fontId="59" fillId="0" borderId="50" xfId="1" applyNumberFormat="1" applyFont="1" applyFill="1" applyBorder="1" applyAlignment="1" applyProtection="1">
      <alignment horizontal="center"/>
    </xf>
    <xf numFmtId="0" fontId="15" fillId="9" borderId="1" xfId="0" applyFont="1" applyFill="1" applyBorder="1" applyProtection="1">
      <protection locked="0"/>
    </xf>
    <xf numFmtId="0" fontId="15" fillId="9" borderId="2" xfId="0" applyFont="1" applyFill="1" applyBorder="1" applyProtection="1">
      <protection locked="0"/>
    </xf>
    <xf numFmtId="0" fontId="15" fillId="9" borderId="3" xfId="0" applyFont="1" applyFill="1" applyBorder="1" applyProtection="1">
      <protection locked="0"/>
    </xf>
    <xf numFmtId="0" fontId="15" fillId="9" borderId="4" xfId="0" applyFont="1" applyFill="1" applyBorder="1" applyProtection="1">
      <protection locked="0"/>
    </xf>
    <xf numFmtId="0" fontId="15" fillId="9" borderId="5" xfId="0" applyFont="1" applyFill="1" applyBorder="1" applyProtection="1">
      <protection locked="0"/>
    </xf>
    <xf numFmtId="0" fontId="15" fillId="9" borderId="12" xfId="0" applyFont="1" applyFill="1" applyBorder="1" applyProtection="1">
      <protection locked="0"/>
    </xf>
    <xf numFmtId="0" fontId="15" fillId="9" borderId="13" xfId="0" applyFont="1" applyFill="1" applyBorder="1" applyProtection="1">
      <protection locked="0"/>
    </xf>
    <xf numFmtId="0" fontId="15" fillId="9" borderId="6" xfId="0" applyFont="1" applyFill="1" applyBorder="1" applyProtection="1">
      <protection locked="0"/>
    </xf>
    <xf numFmtId="0" fontId="15" fillId="9" borderId="2" xfId="0" applyFont="1" applyFill="1" applyBorder="1" applyAlignment="1" applyProtection="1">
      <alignment vertical="center"/>
      <protection locked="0"/>
    </xf>
    <xf numFmtId="0" fontId="15" fillId="9" borderId="3" xfId="0" applyFont="1" applyFill="1" applyBorder="1" applyAlignment="1" applyProtection="1">
      <alignment vertical="center"/>
      <protection locked="0"/>
    </xf>
    <xf numFmtId="0" fontId="15" fillId="9" borderId="5" xfId="0" applyFont="1" applyFill="1" applyBorder="1" applyAlignment="1" applyProtection="1">
      <alignment vertical="center"/>
      <protection locked="0"/>
    </xf>
    <xf numFmtId="0" fontId="7" fillId="9" borderId="0" xfId="0" applyFont="1" applyFill="1" applyAlignment="1" applyProtection="1">
      <alignment vertical="center"/>
      <protection locked="0"/>
    </xf>
    <xf numFmtId="0" fontId="15" fillId="9" borderId="16" xfId="0" applyFont="1" applyFill="1" applyBorder="1" applyProtection="1">
      <protection locked="0"/>
    </xf>
    <xf numFmtId="0" fontId="29" fillId="0" borderId="0" xfId="0" applyFont="1" applyProtection="1">
      <protection locked="0"/>
    </xf>
    <xf numFmtId="0" fontId="15" fillId="17" borderId="3" xfId="0" applyFont="1" applyFill="1" applyBorder="1" applyProtection="1">
      <protection locked="0"/>
    </xf>
    <xf numFmtId="0" fontId="15" fillId="17" borderId="2" xfId="0" applyFont="1" applyFill="1" applyBorder="1" applyProtection="1">
      <protection locked="0"/>
    </xf>
    <xf numFmtId="0" fontId="15" fillId="17" borderId="5" xfId="0" applyFont="1" applyFill="1" applyBorder="1" applyProtection="1">
      <protection locked="0"/>
    </xf>
    <xf numFmtId="0" fontId="15" fillId="17" borderId="0" xfId="0" applyFont="1" applyFill="1" applyProtection="1">
      <protection locked="0"/>
    </xf>
    <xf numFmtId="0" fontId="15" fillId="17" borderId="5" xfId="0" applyFont="1" applyFill="1" applyBorder="1" applyAlignment="1" applyProtection="1">
      <alignment vertical="center"/>
      <protection locked="0"/>
    </xf>
    <xf numFmtId="0" fontId="0" fillId="17" borderId="5" xfId="0" applyFill="1" applyBorder="1" applyAlignment="1" applyProtection="1">
      <alignment horizontal="left" vertical="center"/>
      <protection locked="0"/>
    </xf>
    <xf numFmtId="0" fontId="15" fillId="17" borderId="6" xfId="0" applyFont="1" applyFill="1" applyBorder="1" applyProtection="1">
      <protection locked="0"/>
    </xf>
    <xf numFmtId="0" fontId="15" fillId="17" borderId="13" xfId="0" applyFont="1" applyFill="1" applyBorder="1" applyProtection="1">
      <protection locked="0"/>
    </xf>
    <xf numFmtId="0" fontId="1" fillId="9" borderId="2" xfId="0" applyFont="1" applyFill="1" applyBorder="1" applyAlignment="1" applyProtection="1">
      <alignment horizontal="center"/>
      <protection locked="0"/>
    </xf>
    <xf numFmtId="0" fontId="1" fillId="9" borderId="43" xfId="0" applyFont="1" applyFill="1" applyBorder="1" applyAlignment="1" applyProtection="1">
      <alignment horizontal="center"/>
      <protection locked="0"/>
    </xf>
    <xf numFmtId="0" fontId="1" fillId="9" borderId="13" xfId="0" applyFont="1" applyFill="1" applyBorder="1" applyAlignment="1" applyProtection="1">
      <alignment horizontal="center"/>
      <protection locked="0"/>
    </xf>
    <xf numFmtId="0" fontId="1" fillId="9" borderId="5" xfId="0" applyFont="1" applyFill="1" applyBorder="1" applyAlignment="1" applyProtection="1">
      <alignment horizontal="center"/>
      <protection locked="0"/>
    </xf>
    <xf numFmtId="0" fontId="1" fillId="17" borderId="5" xfId="0" applyFont="1" applyFill="1" applyBorder="1" applyAlignment="1" applyProtection="1">
      <alignment horizontal="center"/>
      <protection locked="0"/>
    </xf>
    <xf numFmtId="0" fontId="15" fillId="18" borderId="12" xfId="0" applyFont="1" applyFill="1" applyBorder="1" applyProtection="1">
      <protection locked="0"/>
    </xf>
    <xf numFmtId="0" fontId="15" fillId="18" borderId="13" xfId="0" applyFont="1" applyFill="1" applyBorder="1" applyProtection="1">
      <protection locked="0"/>
    </xf>
    <xf numFmtId="0" fontId="1" fillId="18" borderId="13" xfId="0" applyFont="1" applyFill="1" applyBorder="1" applyAlignment="1" applyProtection="1">
      <alignment horizontal="center"/>
      <protection locked="0"/>
    </xf>
    <xf numFmtId="0" fontId="15" fillId="18" borderId="0" xfId="0" applyFont="1" applyFill="1" applyProtection="1">
      <protection locked="0"/>
    </xf>
    <xf numFmtId="0" fontId="15" fillId="18" borderId="5" xfId="0" applyFont="1" applyFill="1" applyBorder="1" applyProtection="1">
      <protection locked="0"/>
    </xf>
    <xf numFmtId="0" fontId="15" fillId="18" borderId="4" xfId="0" applyFont="1" applyFill="1" applyBorder="1" applyProtection="1">
      <protection locked="0"/>
    </xf>
    <xf numFmtId="0" fontId="15" fillId="18" borderId="6" xfId="0" applyFont="1" applyFill="1" applyBorder="1" applyProtection="1">
      <protection locked="0"/>
    </xf>
    <xf numFmtId="0" fontId="15" fillId="19" borderId="6" xfId="0" applyFont="1" applyFill="1" applyBorder="1" applyProtection="1">
      <protection locked="0"/>
    </xf>
    <xf numFmtId="0" fontId="15" fillId="19" borderId="13" xfId="0" applyFont="1" applyFill="1" applyBorder="1" applyProtection="1">
      <protection locked="0"/>
    </xf>
    <xf numFmtId="0" fontId="15" fillId="19" borderId="5" xfId="0" applyFont="1" applyFill="1" applyBorder="1" applyProtection="1">
      <protection locked="0"/>
    </xf>
    <xf numFmtId="0" fontId="15" fillId="19" borderId="4" xfId="0" applyFont="1" applyFill="1" applyBorder="1" applyProtection="1">
      <protection locked="0"/>
    </xf>
    <xf numFmtId="0" fontId="29" fillId="0" borderId="0" xfId="0" applyFont="1" applyAlignment="1" applyProtection="1">
      <alignment wrapText="1"/>
      <protection locked="0"/>
    </xf>
    <xf numFmtId="0" fontId="24" fillId="0" borderId="0" xfId="0" applyFont="1" applyAlignment="1" applyProtection="1">
      <alignment vertical="center" wrapText="1"/>
      <protection locked="0"/>
    </xf>
    <xf numFmtId="0" fontId="15" fillId="0" borderId="0" xfId="0" applyFont="1" applyAlignment="1" applyProtection="1">
      <alignment wrapText="1"/>
      <protection locked="0"/>
    </xf>
    <xf numFmtId="0" fontId="1" fillId="0" borderId="0" xfId="0" applyFont="1" applyAlignment="1" applyProtection="1">
      <alignment horizontal="center"/>
      <protection locked="0"/>
    </xf>
    <xf numFmtId="0" fontId="15" fillId="0" borderId="0" xfId="0" applyFont="1" applyAlignment="1" applyProtection="1">
      <alignment vertical="center"/>
      <protection locked="0"/>
    </xf>
    <xf numFmtId="0" fontId="7" fillId="0" borderId="0" xfId="0" applyFont="1" applyAlignment="1" applyProtection="1">
      <alignment vertical="center"/>
      <protection locked="0"/>
    </xf>
    <xf numFmtId="0" fontId="0" fillId="0" borderId="0" xfId="0" applyAlignment="1" applyProtection="1">
      <alignment horizontal="left" vertical="center"/>
      <protection locked="0"/>
    </xf>
    <xf numFmtId="0" fontId="1" fillId="0" borderId="0" xfId="0" applyFont="1" applyAlignment="1" applyProtection="1">
      <alignment wrapText="1"/>
      <protection locked="0"/>
    </xf>
    <xf numFmtId="0" fontId="58" fillId="0" borderId="0" xfId="0" applyFont="1" applyProtection="1">
      <protection locked="0"/>
    </xf>
    <xf numFmtId="0" fontId="1" fillId="0" borderId="0" xfId="0" applyFont="1" applyAlignment="1" applyProtection="1">
      <alignment vertical="center" textRotation="180" wrapText="1"/>
      <protection locked="0"/>
    </xf>
    <xf numFmtId="0" fontId="0" fillId="0" borderId="0" xfId="0" applyAlignment="1" applyProtection="1">
      <alignment vertical="center"/>
      <protection locked="0"/>
    </xf>
    <xf numFmtId="0" fontId="6" fillId="0" borderId="18" xfId="0" applyFont="1" applyBorder="1" applyAlignment="1" applyProtection="1">
      <alignment horizontal="center"/>
      <protection locked="0"/>
    </xf>
    <xf numFmtId="0" fontId="58" fillId="0" borderId="46" xfId="0" applyFont="1" applyBorder="1" applyAlignment="1" applyProtection="1">
      <alignment horizontal="left" indent="2"/>
      <protection locked="0"/>
    </xf>
    <xf numFmtId="0" fontId="58" fillId="0" borderId="46" xfId="0" applyFont="1" applyBorder="1" applyAlignment="1">
      <alignment horizontal="left" indent="3"/>
    </xf>
    <xf numFmtId="0" fontId="3" fillId="0" borderId="1" xfId="0" applyFont="1" applyBorder="1"/>
    <xf numFmtId="0" fontId="0" fillId="0" borderId="2" xfId="0" applyBorder="1"/>
    <xf numFmtId="0" fontId="0" fillId="0" borderId="3" xfId="0" applyBorder="1"/>
    <xf numFmtId="0" fontId="3" fillId="0" borderId="4" xfId="0" applyFont="1" applyBorder="1"/>
    <xf numFmtId="0" fontId="22" fillId="0" borderId="4" xfId="0" applyFont="1" applyBorder="1"/>
    <xf numFmtId="0" fontId="0" fillId="0" borderId="13" xfId="0" applyBorder="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4" fillId="0" borderId="2" xfId="0" applyFont="1" applyBorder="1"/>
    <xf numFmtId="0" fontId="4" fillId="0" borderId="3" xfId="0" applyFont="1" applyBorder="1"/>
    <xf numFmtId="1" fontId="10" fillId="0" borderId="51" xfId="0" applyNumberFormat="1" applyFont="1" applyBorder="1" applyAlignment="1">
      <alignment horizontal="center"/>
    </xf>
    <xf numFmtId="1" fontId="10" fillId="0" borderId="62" xfId="0" applyNumberFormat="1" applyFont="1" applyBorder="1" applyAlignment="1">
      <alignment horizontal="center"/>
    </xf>
    <xf numFmtId="1" fontId="10" fillId="0" borderId="69" xfId="0" applyNumberFormat="1" applyFont="1" applyBorder="1" applyAlignment="1">
      <alignment horizontal="center"/>
    </xf>
    <xf numFmtId="1" fontId="10" fillId="0" borderId="63" xfId="0" applyNumberFormat="1" applyFont="1" applyBorder="1" applyAlignment="1">
      <alignment horizontal="center"/>
    </xf>
    <xf numFmtId="2" fontId="11" fillId="0" borderId="0" xfId="0" applyNumberFormat="1" applyFont="1" applyAlignment="1">
      <alignment horizontal="center"/>
    </xf>
    <xf numFmtId="0" fontId="4" fillId="0" borderId="0" xfId="0" applyFont="1" applyAlignment="1" applyProtection="1">
      <alignment horizontal="right"/>
      <protection locked="0"/>
    </xf>
    <xf numFmtId="0" fontId="12" fillId="0" borderId="0" xfId="0" applyFont="1" applyAlignment="1" applyProtection="1">
      <alignment horizontal="center"/>
      <protection locked="0"/>
    </xf>
    <xf numFmtId="0" fontId="34" fillId="0" borderId="0" xfId="0" applyFont="1" applyAlignment="1">
      <alignment horizontal="center"/>
    </xf>
    <xf numFmtId="0" fontId="39" fillId="0" borderId="0" xfId="0" applyFont="1" applyAlignment="1" applyProtection="1">
      <alignment horizontal="center"/>
      <protection locked="0"/>
    </xf>
    <xf numFmtId="0" fontId="4" fillId="0" borderId="0" xfId="0" applyFont="1" applyAlignment="1">
      <alignment wrapText="1"/>
    </xf>
    <xf numFmtId="0" fontId="12" fillId="9" borderId="0" xfId="0" applyFont="1" applyFill="1" applyAlignment="1">
      <alignment horizontal="center"/>
    </xf>
    <xf numFmtId="0" fontId="4" fillId="0" borderId="4" xfId="0" applyFont="1" applyBorder="1" applyProtection="1">
      <protection locked="0"/>
    </xf>
    <xf numFmtId="0" fontId="10" fillId="0" borderId="25" xfId="0" applyFont="1" applyBorder="1"/>
    <xf numFmtId="0" fontId="10" fillId="0" borderId="1" xfId="0" applyFont="1" applyBorder="1" applyProtection="1">
      <protection locked="0"/>
    </xf>
    <xf numFmtId="0" fontId="10" fillId="0" borderId="2" xfId="0" applyFont="1" applyBorder="1" applyProtection="1">
      <protection locked="0"/>
    </xf>
    <xf numFmtId="0" fontId="4" fillId="0" borderId="71" xfId="0" applyFont="1" applyBorder="1"/>
    <xf numFmtId="0" fontId="4" fillId="0" borderId="72" xfId="0" applyFont="1" applyBorder="1"/>
    <xf numFmtId="0" fontId="7" fillId="0" borderId="0" xfId="0" applyFont="1" applyProtection="1">
      <protection locked="0"/>
    </xf>
    <xf numFmtId="1" fontId="16" fillId="0" borderId="33" xfId="0" applyNumberFormat="1" applyFont="1" applyBorder="1" applyAlignment="1" applyProtection="1">
      <alignment horizontal="center"/>
      <protection locked="0"/>
    </xf>
    <xf numFmtId="1" fontId="16" fillId="0" borderId="0" xfId="0" applyNumberFormat="1" applyFont="1" applyAlignment="1" applyProtection="1">
      <alignment horizontal="center"/>
      <protection locked="0"/>
    </xf>
    <xf numFmtId="2" fontId="16" fillId="0" borderId="0" xfId="0" applyNumberFormat="1" applyFont="1" applyAlignment="1" applyProtection="1">
      <alignment horizontal="center"/>
      <protection locked="0"/>
    </xf>
    <xf numFmtId="1" fontId="16" fillId="0" borderId="5" xfId="0" applyNumberFormat="1" applyFont="1" applyBorder="1" applyAlignment="1" applyProtection="1">
      <alignment horizontal="center"/>
      <protection locked="0"/>
    </xf>
    <xf numFmtId="0" fontId="1" fillId="9" borderId="16" xfId="0" applyFont="1" applyFill="1" applyBorder="1" applyAlignment="1">
      <alignment vertical="center"/>
    </xf>
    <xf numFmtId="0" fontId="1" fillId="9" borderId="16" xfId="0" applyFont="1" applyFill="1" applyBorder="1" applyAlignment="1">
      <alignment horizontal="left" vertical="center" indent="3"/>
    </xf>
    <xf numFmtId="0" fontId="1" fillId="9" borderId="24" xfId="0" applyFont="1" applyFill="1" applyBorder="1" applyAlignment="1">
      <alignment horizontal="left" vertical="center" indent="3"/>
    </xf>
    <xf numFmtId="0" fontId="9" fillId="9" borderId="13" xfId="0" applyFont="1" applyFill="1" applyBorder="1" applyAlignment="1">
      <alignment horizontal="center" vertical="center"/>
    </xf>
    <xf numFmtId="0" fontId="9" fillId="9" borderId="6" xfId="0" applyFont="1" applyFill="1" applyBorder="1" applyAlignment="1">
      <alignment horizontal="center" vertical="center"/>
    </xf>
    <xf numFmtId="0" fontId="4" fillId="9" borderId="0" xfId="0" applyFont="1" applyFill="1" applyAlignment="1">
      <alignment horizontal="left" vertical="center" indent="3"/>
    </xf>
    <xf numFmtId="0" fontId="4" fillId="9" borderId="5" xfId="0" applyFont="1" applyFill="1" applyBorder="1" applyAlignment="1">
      <alignment horizontal="left" vertical="center" indent="3"/>
    </xf>
    <xf numFmtId="0" fontId="4" fillId="9" borderId="2"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13"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16" xfId="0" applyFont="1" applyFill="1" applyBorder="1" applyAlignment="1">
      <alignment horizontal="left" vertical="center"/>
    </xf>
    <xf numFmtId="0" fontId="4" fillId="9" borderId="24" xfId="0" applyFont="1" applyFill="1" applyBorder="1" applyAlignment="1">
      <alignment horizontal="left" vertical="center"/>
    </xf>
    <xf numFmtId="0" fontId="4" fillId="9" borderId="13" xfId="0" applyFont="1" applyFill="1" applyBorder="1" applyAlignment="1">
      <alignment horizontal="left" vertical="center"/>
    </xf>
    <xf numFmtId="0" fontId="4" fillId="9" borderId="6" xfId="0" applyFont="1" applyFill="1" applyBorder="1" applyAlignment="1">
      <alignment horizontal="left" vertical="center"/>
    </xf>
    <xf numFmtId="0" fontId="4" fillId="9" borderId="2" xfId="0" applyFont="1" applyFill="1" applyBorder="1" applyAlignment="1">
      <alignment horizontal="left" vertical="center"/>
    </xf>
    <xf numFmtId="0" fontId="4" fillId="9" borderId="3" xfId="0" applyFont="1" applyFill="1" applyBorder="1" applyAlignment="1">
      <alignment horizontal="left" vertical="center"/>
    </xf>
    <xf numFmtId="0" fontId="10" fillId="9" borderId="13" xfId="0" applyFont="1" applyFill="1" applyBorder="1" applyAlignment="1">
      <alignment horizontal="left" vertical="center" indent="3"/>
    </xf>
    <xf numFmtId="0" fontId="10" fillId="9" borderId="6" xfId="0" applyFont="1" applyFill="1" applyBorder="1" applyAlignment="1">
      <alignment horizontal="left" vertical="center" indent="3"/>
    </xf>
    <xf numFmtId="0" fontId="4" fillId="9" borderId="2" xfId="0" applyFont="1" applyFill="1" applyBorder="1" applyAlignment="1">
      <alignment horizontal="left" vertical="top" wrapText="1"/>
    </xf>
    <xf numFmtId="0" fontId="4" fillId="9" borderId="3" xfId="0" applyFont="1" applyFill="1" applyBorder="1" applyAlignment="1">
      <alignment horizontal="left" vertical="top" wrapText="1"/>
    </xf>
    <xf numFmtId="0" fontId="4" fillId="9" borderId="0" xfId="0" applyFont="1" applyFill="1" applyAlignment="1">
      <alignment horizontal="left" vertical="top" wrapText="1"/>
    </xf>
    <xf numFmtId="0" fontId="4" fillId="9" borderId="5" xfId="0" applyFont="1" applyFill="1" applyBorder="1" applyAlignment="1">
      <alignment horizontal="left" vertical="top" wrapText="1"/>
    </xf>
    <xf numFmtId="0" fontId="4" fillId="9" borderId="0" xfId="0" applyFont="1" applyFill="1" applyAlignment="1">
      <alignment horizontal="left" vertical="center"/>
    </xf>
    <xf numFmtId="0" fontId="4" fillId="9" borderId="5" xfId="0" applyFont="1" applyFill="1" applyBorder="1" applyAlignment="1">
      <alignment horizontal="left" vertical="center"/>
    </xf>
    <xf numFmtId="0" fontId="20" fillId="14" borderId="1" xfId="0" applyFont="1" applyFill="1" applyBorder="1" applyAlignment="1">
      <alignment horizontal="center"/>
    </xf>
    <xf numFmtId="0" fontId="20" fillId="14" borderId="2" xfId="0" applyFont="1" applyFill="1" applyBorder="1" applyAlignment="1">
      <alignment horizontal="center"/>
    </xf>
    <xf numFmtId="0" fontId="20" fillId="14" borderId="3" xfId="0" applyFont="1" applyFill="1" applyBorder="1" applyAlignment="1">
      <alignment horizontal="center"/>
    </xf>
    <xf numFmtId="0" fontId="20" fillId="14" borderId="4" xfId="0" applyFont="1" applyFill="1" applyBorder="1" applyAlignment="1">
      <alignment horizontal="center"/>
    </xf>
    <xf numFmtId="0" fontId="20" fillId="14" borderId="0" xfId="0" applyFont="1" applyFill="1" applyAlignment="1">
      <alignment horizontal="center"/>
    </xf>
    <xf numFmtId="0" fontId="20" fillId="14" borderId="5" xfId="0" applyFont="1" applyFill="1" applyBorder="1" applyAlignment="1">
      <alignment horizontal="center"/>
    </xf>
    <xf numFmtId="0" fontId="4" fillId="9" borderId="0" xfId="0" applyFont="1" applyFill="1" applyAlignment="1">
      <alignment horizontal="left" vertical="center" wrapText="1" indent="3"/>
    </xf>
    <xf numFmtId="0" fontId="4" fillId="9" borderId="5" xfId="0" applyFont="1" applyFill="1" applyBorder="1" applyAlignment="1">
      <alignment horizontal="left" vertical="center" wrapText="1" indent="3"/>
    </xf>
    <xf numFmtId="0" fontId="9" fillId="9" borderId="0" xfId="0" applyFont="1" applyFill="1" applyAlignment="1">
      <alignment horizontal="center" vertical="center"/>
    </xf>
    <xf numFmtId="0" fontId="9" fillId="9" borderId="5" xfId="0" applyFont="1" applyFill="1" applyBorder="1" applyAlignment="1">
      <alignment horizontal="center" vertical="center"/>
    </xf>
    <xf numFmtId="0" fontId="9" fillId="9" borderId="1" xfId="0" applyFont="1" applyFill="1" applyBorder="1" applyAlignment="1">
      <alignment horizontal="right" vertical="top"/>
    </xf>
    <xf numFmtId="0" fontId="9" fillId="9" borderId="4" xfId="0" applyFont="1" applyFill="1" applyBorder="1" applyAlignment="1">
      <alignment horizontal="right" vertical="top"/>
    </xf>
    <xf numFmtId="0" fontId="25" fillId="14" borderId="4" xfId="0" applyFont="1" applyFill="1" applyBorder="1" applyAlignment="1">
      <alignment horizontal="center" vertical="center"/>
    </xf>
    <xf numFmtId="0" fontId="25" fillId="14" borderId="0" xfId="0" applyFont="1" applyFill="1" applyAlignment="1">
      <alignment horizontal="center" vertical="center"/>
    </xf>
    <xf numFmtId="0" fontId="25" fillId="14" borderId="5" xfId="0" applyFont="1" applyFill="1" applyBorder="1" applyAlignment="1">
      <alignment horizontal="center" vertical="center"/>
    </xf>
    <xf numFmtId="0" fontId="1" fillId="9" borderId="0" xfId="0" applyFont="1" applyFill="1" applyAlignment="1">
      <alignment horizontal="left" vertical="center" wrapText="1"/>
    </xf>
    <xf numFmtId="0" fontId="1" fillId="9" borderId="5"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6" fillId="9" borderId="1" xfId="0" applyFont="1" applyFill="1" applyBorder="1" applyAlignment="1">
      <alignment horizontal="center" vertical="center" wrapText="1"/>
    </xf>
    <xf numFmtId="0" fontId="16" fillId="9" borderId="4" xfId="0" applyFont="1" applyFill="1" applyBorder="1" applyAlignment="1">
      <alignment horizontal="center" vertical="center" wrapText="1"/>
    </xf>
    <xf numFmtId="0" fontId="4" fillId="9" borderId="1" xfId="0" applyFont="1" applyFill="1" applyBorder="1" applyAlignment="1">
      <alignment horizontal="left" vertical="center" wrapText="1"/>
    </xf>
    <xf numFmtId="0" fontId="29" fillId="9" borderId="4" xfId="0" applyFont="1" applyFill="1" applyBorder="1" applyAlignment="1">
      <alignment horizontal="left" vertical="center" wrapText="1" indent="3"/>
    </xf>
    <xf numFmtId="0" fontId="29" fillId="9" borderId="0" xfId="0" applyFont="1" applyFill="1" applyAlignment="1">
      <alignment horizontal="left" vertical="center" wrapText="1" indent="3"/>
    </xf>
    <xf numFmtId="0" fontId="29" fillId="9" borderId="5" xfId="0" applyFont="1" applyFill="1" applyBorder="1" applyAlignment="1">
      <alignment horizontal="left" vertical="center" wrapText="1" indent="3"/>
    </xf>
    <xf numFmtId="0" fontId="29" fillId="9" borderId="12" xfId="0" applyFont="1" applyFill="1" applyBorder="1" applyAlignment="1">
      <alignment horizontal="left" vertical="center" wrapText="1" indent="3"/>
    </xf>
    <xf numFmtId="0" fontId="29" fillId="9" borderId="13" xfId="0" applyFont="1" applyFill="1" applyBorder="1" applyAlignment="1">
      <alignment horizontal="left" vertical="center" wrapText="1" indent="3"/>
    </xf>
    <xf numFmtId="0" fontId="29" fillId="9" borderId="6" xfId="0" applyFont="1" applyFill="1" applyBorder="1" applyAlignment="1">
      <alignment horizontal="left" vertical="center" wrapText="1" indent="3"/>
    </xf>
    <xf numFmtId="0" fontId="4" fillId="9" borderId="4" xfId="0" applyFont="1" applyFill="1" applyBorder="1" applyAlignment="1">
      <alignment horizontal="left" vertical="center" wrapText="1"/>
    </xf>
    <xf numFmtId="0" fontId="4" fillId="9" borderId="0" xfId="0" applyFont="1" applyFill="1" applyAlignment="1">
      <alignment horizontal="left" vertical="center" wrapText="1"/>
    </xf>
    <xf numFmtId="0" fontId="4" fillId="9" borderId="5" xfId="0" applyFont="1" applyFill="1" applyBorder="1" applyAlignment="1">
      <alignment horizontal="left" vertical="center" wrapText="1"/>
    </xf>
    <xf numFmtId="0" fontId="9" fillId="9" borderId="12" xfId="0" applyFont="1" applyFill="1" applyBorder="1" applyAlignment="1">
      <alignment horizontal="right" vertical="top"/>
    </xf>
    <xf numFmtId="0" fontId="58" fillId="9" borderId="0" xfId="0" applyFont="1" applyFill="1" applyAlignment="1" applyProtection="1">
      <alignment horizontal="center"/>
      <protection locked="0"/>
    </xf>
    <xf numFmtId="0" fontId="24" fillId="18" borderId="5" xfId="0" applyFont="1" applyFill="1" applyBorder="1" applyAlignment="1" applyProtection="1">
      <alignment horizontal="center" vertical="center" wrapText="1"/>
      <protection locked="0"/>
    </xf>
    <xf numFmtId="0" fontId="16" fillId="0" borderId="0" xfId="0" applyFont="1" applyAlignment="1">
      <alignment horizontal="center"/>
    </xf>
    <xf numFmtId="0" fontId="24" fillId="18" borderId="4" xfId="0" applyFont="1" applyFill="1" applyBorder="1" applyAlignment="1" applyProtection="1">
      <alignment horizontal="center" vertical="center" wrapText="1"/>
      <protection locked="0"/>
    </xf>
    <xf numFmtId="0" fontId="1" fillId="17" borderId="0" xfId="0" applyFont="1" applyFill="1" applyAlignment="1" applyProtection="1">
      <alignment horizontal="center" wrapText="1"/>
      <protection locked="0"/>
    </xf>
    <xf numFmtId="0" fontId="1" fillId="17" borderId="13" xfId="0" applyFont="1" applyFill="1" applyBorder="1" applyAlignment="1" applyProtection="1">
      <alignment horizontal="center" wrapText="1"/>
      <protection locked="0"/>
    </xf>
    <xf numFmtId="0" fontId="1" fillId="17" borderId="2" xfId="0" applyFont="1" applyFill="1" applyBorder="1" applyAlignment="1" applyProtection="1">
      <alignment horizontal="center" wrapText="1"/>
      <protection locked="0"/>
    </xf>
    <xf numFmtId="0" fontId="0" fillId="9" borderId="13" xfId="0" applyFill="1" applyBorder="1" applyAlignment="1" applyProtection="1">
      <alignment horizontal="left" vertical="center"/>
      <protection locked="0"/>
    </xf>
    <xf numFmtId="0" fontId="0" fillId="9" borderId="6" xfId="0" applyFill="1" applyBorder="1" applyAlignment="1" applyProtection="1">
      <alignment horizontal="left" vertical="center"/>
      <protection locked="0"/>
    </xf>
    <xf numFmtId="0" fontId="1" fillId="9" borderId="1" xfId="0" applyFont="1" applyFill="1" applyBorder="1" applyAlignment="1" applyProtection="1">
      <alignment horizontal="left" vertical="center" textRotation="180" wrapText="1"/>
      <protection locked="0"/>
    </xf>
    <xf numFmtId="0" fontId="1" fillId="9" borderId="4" xfId="0" applyFont="1" applyFill="1" applyBorder="1" applyAlignment="1" applyProtection="1">
      <alignment horizontal="left" vertical="center" textRotation="180" wrapText="1"/>
      <protection locked="0"/>
    </xf>
    <xf numFmtId="0" fontId="1" fillId="9" borderId="12" xfId="0" applyFont="1" applyFill="1" applyBorder="1" applyAlignment="1" applyProtection="1">
      <alignment horizontal="left" vertical="center" textRotation="180" wrapText="1"/>
      <protection locked="0"/>
    </xf>
    <xf numFmtId="0" fontId="21" fillId="14" borderId="1" xfId="0" applyFont="1" applyFill="1" applyBorder="1" applyAlignment="1" applyProtection="1">
      <alignment horizontal="center"/>
      <protection locked="0"/>
    </xf>
    <xf numFmtId="0" fontId="21" fillId="14" borderId="2" xfId="0" applyFont="1" applyFill="1" applyBorder="1" applyAlignment="1" applyProtection="1">
      <alignment horizontal="center"/>
      <protection locked="0"/>
    </xf>
    <xf numFmtId="0" fontId="21" fillId="14" borderId="3" xfId="0" applyFont="1" applyFill="1" applyBorder="1" applyAlignment="1" applyProtection="1">
      <alignment horizontal="center"/>
      <protection locked="0"/>
    </xf>
    <xf numFmtId="0" fontId="10" fillId="0" borderId="0" xfId="0" applyFont="1" applyAlignment="1">
      <alignment horizontal="center"/>
    </xf>
    <xf numFmtId="0" fontId="10" fillId="0" borderId="19" xfId="0" applyFont="1" applyBorder="1" applyAlignment="1">
      <alignment horizontal="center"/>
    </xf>
    <xf numFmtId="0" fontId="0" fillId="0" borderId="67" xfId="0" applyBorder="1" applyAlignment="1">
      <alignment horizontal="left" vertical="top" wrapText="1"/>
    </xf>
    <xf numFmtId="0" fontId="0" fillId="0" borderId="4" xfId="0" applyBorder="1" applyAlignment="1">
      <alignment horizontal="left" vertical="top" wrapText="1"/>
    </xf>
    <xf numFmtId="0" fontId="10" fillId="0" borderId="5" xfId="0" applyFont="1" applyBorder="1" applyAlignment="1">
      <alignment horizontal="center"/>
    </xf>
    <xf numFmtId="0" fontId="4" fillId="0" borderId="4" xfId="0" applyFont="1" applyBorder="1" applyAlignment="1" applyProtection="1">
      <alignment horizontal="left" wrapText="1"/>
      <protection locked="0"/>
    </xf>
    <xf numFmtId="0" fontId="65" fillId="0" borderId="0" xfId="4" applyFont="1" applyFill="1" applyBorder="1" applyAlignment="1" applyProtection="1">
      <alignment horizontal="center"/>
    </xf>
    <xf numFmtId="0" fontId="65" fillId="0" borderId="5" xfId="4" applyFont="1" applyFill="1" applyBorder="1" applyAlignment="1" applyProtection="1">
      <alignment horizontal="center"/>
    </xf>
    <xf numFmtId="0" fontId="21" fillId="5" borderId="1" xfId="0" applyFont="1" applyFill="1" applyBorder="1" applyAlignment="1" applyProtection="1">
      <alignment horizontal="center"/>
      <protection locked="0"/>
    </xf>
    <xf numFmtId="0" fontId="21" fillId="5" borderId="2" xfId="0" applyFont="1" applyFill="1" applyBorder="1" applyAlignment="1" applyProtection="1">
      <alignment horizontal="center"/>
      <protection locked="0"/>
    </xf>
    <xf numFmtId="0" fontId="21" fillId="5" borderId="3" xfId="0" applyFont="1" applyFill="1" applyBorder="1" applyAlignment="1" applyProtection="1">
      <alignment horizontal="center"/>
      <protection locked="0"/>
    </xf>
    <xf numFmtId="0" fontId="29" fillId="0" borderId="0" xfId="0" applyFont="1" applyAlignment="1" applyProtection="1">
      <alignment horizontal="left" wrapText="1"/>
      <protection locked="0"/>
    </xf>
    <xf numFmtId="0" fontId="20" fillId="14" borderId="1" xfId="0" applyFont="1" applyFill="1" applyBorder="1" applyAlignment="1">
      <alignment horizontal="center" vertical="center"/>
    </xf>
    <xf numFmtId="0" fontId="20" fillId="14" borderId="2" xfId="0" applyFont="1" applyFill="1" applyBorder="1" applyAlignment="1">
      <alignment horizontal="center" vertical="center"/>
    </xf>
    <xf numFmtId="0" fontId="20" fillId="14" borderId="3" xfId="0" applyFont="1" applyFill="1" applyBorder="1" applyAlignment="1">
      <alignment horizontal="center" vertical="center"/>
    </xf>
    <xf numFmtId="0" fontId="20" fillId="14" borderId="4" xfId="0" applyFont="1" applyFill="1" applyBorder="1" applyAlignment="1">
      <alignment horizontal="center" vertical="center"/>
    </xf>
    <xf numFmtId="0" fontId="20" fillId="14" borderId="0" xfId="0" applyFont="1" applyFill="1" applyAlignment="1">
      <alignment horizontal="center" vertical="center"/>
    </xf>
    <xf numFmtId="0" fontId="20" fillId="14" borderId="5" xfId="0" applyFont="1" applyFill="1" applyBorder="1" applyAlignment="1">
      <alignment horizontal="center" vertical="center"/>
    </xf>
    <xf numFmtId="0" fontId="20" fillId="14" borderId="12" xfId="0" applyFont="1" applyFill="1" applyBorder="1" applyAlignment="1">
      <alignment horizontal="center" vertical="center"/>
    </xf>
    <xf numFmtId="0" fontId="20" fillId="14" borderId="13" xfId="0" applyFont="1" applyFill="1" applyBorder="1" applyAlignment="1">
      <alignment horizontal="center" vertical="center"/>
    </xf>
    <xf numFmtId="0" fontId="20" fillId="14" borderId="6" xfId="0" applyFont="1" applyFill="1" applyBorder="1" applyAlignment="1">
      <alignment horizontal="center" vertical="center"/>
    </xf>
    <xf numFmtId="0" fontId="56" fillId="8" borderId="35" xfId="0" applyFont="1" applyFill="1" applyBorder="1" applyAlignment="1" applyProtection="1">
      <alignment horizontal="center"/>
      <protection locked="0"/>
    </xf>
    <xf numFmtId="0" fontId="56" fillId="8" borderId="16" xfId="0" applyFont="1" applyFill="1" applyBorder="1" applyAlignment="1" applyProtection="1">
      <alignment horizontal="center"/>
      <protection locked="0"/>
    </xf>
    <xf numFmtId="0" fontId="56" fillId="8" borderId="24" xfId="0" applyFont="1" applyFill="1" applyBorder="1" applyAlignment="1" applyProtection="1">
      <alignment horizontal="center"/>
      <protection locked="0"/>
    </xf>
    <xf numFmtId="0" fontId="15" fillId="0" borderId="49" xfId="0" applyFont="1" applyBorder="1" applyAlignment="1">
      <alignment horizontal="left"/>
    </xf>
    <xf numFmtId="0" fontId="15" fillId="0" borderId="48" xfId="0" applyFont="1" applyBorder="1" applyAlignment="1">
      <alignment horizontal="left"/>
    </xf>
    <xf numFmtId="0" fontId="7" fillId="0" borderId="18" xfId="0" applyFont="1" applyBorder="1" applyAlignment="1">
      <alignment horizontal="center"/>
    </xf>
    <xf numFmtId="0" fontId="7" fillId="0" borderId="19"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4" fillId="0" borderId="19" xfId="0" applyFont="1" applyBorder="1" applyAlignment="1">
      <alignment horizontal="center"/>
    </xf>
    <xf numFmtId="0" fontId="16" fillId="0" borderId="0" xfId="0" applyFont="1" applyAlignment="1" applyProtection="1">
      <alignment horizontal="center"/>
      <protection locked="0"/>
    </xf>
    <xf numFmtId="0" fontId="58" fillId="0" borderId="0" xfId="0" applyFont="1" applyAlignment="1" applyProtection="1">
      <alignment horizontal="center"/>
      <protection locked="0"/>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24" fillId="0" borderId="18" xfId="0" applyFont="1" applyBorder="1" applyAlignment="1">
      <alignment horizontal="center"/>
    </xf>
    <xf numFmtId="0" fontId="24" fillId="0" borderId="19" xfId="0" applyFont="1" applyBorder="1" applyAlignment="1">
      <alignment horizontal="center"/>
    </xf>
    <xf numFmtId="0" fontId="9" fillId="8" borderId="16" xfId="0" applyFont="1" applyFill="1" applyBorder="1" applyAlignment="1">
      <alignment horizontal="center"/>
    </xf>
    <xf numFmtId="0" fontId="6" fillId="0" borderId="26"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10" fillId="8" borderId="35" xfId="0" applyFont="1" applyFill="1" applyBorder="1" applyAlignment="1">
      <alignment horizontal="center"/>
    </xf>
    <xf numFmtId="0" fontId="10" fillId="8" borderId="16" xfId="0" applyFont="1" applyFill="1" applyBorder="1" applyAlignment="1">
      <alignment horizontal="center"/>
    </xf>
    <xf numFmtId="0" fontId="10" fillId="8" borderId="24" xfId="0" applyFont="1" applyFill="1" applyBorder="1" applyAlignment="1">
      <alignment horizontal="center"/>
    </xf>
    <xf numFmtId="0" fontId="46" fillId="0" borderId="0" xfId="0" applyFont="1" applyAlignment="1" applyProtection="1">
      <alignment horizontal="center"/>
      <protection locked="0"/>
    </xf>
    <xf numFmtId="0" fontId="46" fillId="0" borderId="5" xfId="0" applyFont="1" applyBorder="1" applyAlignment="1" applyProtection="1">
      <alignment horizontal="center"/>
      <protection locked="0"/>
    </xf>
    <xf numFmtId="0" fontId="48" fillId="0" borderId="0" xfId="4" applyFill="1" applyAlignment="1">
      <alignment horizontal="center"/>
    </xf>
    <xf numFmtId="0" fontId="23" fillId="14" borderId="0" xfId="0" applyFont="1" applyFill="1" applyAlignment="1">
      <alignment horizontal="center"/>
    </xf>
    <xf numFmtId="0" fontId="81" fillId="9" borderId="0" xfId="4" applyFont="1" applyFill="1" applyAlignment="1" applyProtection="1">
      <alignment horizontal="left"/>
    </xf>
    <xf numFmtId="0" fontId="21" fillId="16" borderId="36" xfId="0" applyFont="1" applyFill="1" applyBorder="1" applyAlignment="1">
      <alignment horizontal="center"/>
    </xf>
    <xf numFmtId="0" fontId="21" fillId="16" borderId="10" xfId="0" applyFont="1" applyFill="1" applyBorder="1" applyAlignment="1">
      <alignment horizontal="center"/>
    </xf>
    <xf numFmtId="0" fontId="21" fillId="16" borderId="37" xfId="0" applyFont="1" applyFill="1" applyBorder="1" applyAlignment="1">
      <alignment horizontal="center"/>
    </xf>
    <xf numFmtId="0" fontId="15" fillId="9" borderId="42" xfId="0" applyFont="1" applyFill="1" applyBorder="1" applyAlignment="1">
      <alignment horizontal="center"/>
    </xf>
    <xf numFmtId="0" fontId="15" fillId="9" borderId="19" xfId="0" applyFont="1" applyFill="1" applyBorder="1" applyAlignment="1">
      <alignment horizontal="center"/>
    </xf>
    <xf numFmtId="0" fontId="15" fillId="9" borderId="21" xfId="0" applyFont="1" applyFill="1" applyBorder="1" applyAlignment="1">
      <alignment horizontal="center"/>
    </xf>
    <xf numFmtId="0" fontId="21" fillId="12" borderId="20" xfId="0" applyFont="1" applyFill="1" applyBorder="1" applyAlignment="1">
      <alignment horizontal="center"/>
    </xf>
    <xf numFmtId="0" fontId="21" fillId="12" borderId="8" xfId="0" applyFont="1" applyFill="1" applyBorder="1" applyAlignment="1">
      <alignment horizontal="center"/>
    </xf>
    <xf numFmtId="0" fontId="21" fillId="12" borderId="21" xfId="0" applyFont="1" applyFill="1" applyBorder="1" applyAlignment="1">
      <alignment horizontal="center"/>
    </xf>
    <xf numFmtId="0" fontId="29" fillId="9" borderId="36" xfId="0" applyFont="1" applyFill="1" applyBorder="1" applyAlignment="1">
      <alignment horizontal="center"/>
    </xf>
    <xf numFmtId="0" fontId="29" fillId="9" borderId="10" xfId="0" applyFont="1" applyFill="1" applyBorder="1" applyAlignment="1">
      <alignment horizontal="center"/>
    </xf>
    <xf numFmtId="0" fontId="29" fillId="9" borderId="37" xfId="0" applyFont="1" applyFill="1" applyBorder="1" applyAlignment="1">
      <alignment horizontal="center"/>
    </xf>
    <xf numFmtId="0" fontId="7" fillId="9" borderId="35" xfId="0" applyFont="1" applyFill="1" applyBorder="1" applyAlignment="1">
      <alignment horizontal="center"/>
    </xf>
    <xf numFmtId="0" fontId="7" fillId="9" borderId="16" xfId="0" applyFont="1" applyFill="1" applyBorder="1" applyAlignment="1">
      <alignment horizontal="center"/>
    </xf>
    <xf numFmtId="0" fontId="7" fillId="9" borderId="24" xfId="0" applyFont="1" applyFill="1" applyBorder="1" applyAlignment="1">
      <alignment horizontal="center"/>
    </xf>
    <xf numFmtId="0" fontId="15" fillId="9" borderId="8" xfId="0" applyFont="1" applyFill="1" applyBorder="1" applyAlignment="1">
      <alignment horizontal="center"/>
    </xf>
    <xf numFmtId="0" fontId="15" fillId="9" borderId="9" xfId="0" applyFont="1" applyFill="1" applyBorder="1" applyAlignment="1">
      <alignment horizontal="center"/>
    </xf>
    <xf numFmtId="0" fontId="7" fillId="9" borderId="65" xfId="0" applyFont="1" applyFill="1" applyBorder="1" applyAlignment="1">
      <alignment horizontal="center"/>
    </xf>
    <xf numFmtId="0" fontId="7" fillId="9" borderId="68" xfId="0" applyFont="1" applyFill="1" applyBorder="1" applyAlignment="1">
      <alignment horizontal="center"/>
    </xf>
    <xf numFmtId="0" fontId="67" fillId="9" borderId="0" xfId="0" applyFont="1" applyFill="1" applyAlignment="1">
      <alignment horizontal="center"/>
    </xf>
    <xf numFmtId="0" fontId="21" fillId="14" borderId="57" xfId="0" applyFont="1" applyFill="1" applyBorder="1" applyAlignment="1">
      <alignment horizontal="center"/>
    </xf>
    <xf numFmtId="0" fontId="21" fillId="14" borderId="58" xfId="0" applyFont="1" applyFill="1" applyBorder="1" applyAlignment="1">
      <alignment horizontal="center"/>
    </xf>
    <xf numFmtId="0" fontId="21" fillId="14" borderId="70" xfId="0" applyFont="1" applyFill="1" applyBorder="1" applyAlignment="1">
      <alignment horizontal="center"/>
    </xf>
    <xf numFmtId="0" fontId="21" fillId="14" borderId="42" xfId="0" applyFont="1" applyFill="1" applyBorder="1" applyAlignment="1">
      <alignment horizontal="center"/>
    </xf>
    <xf numFmtId="0" fontId="7" fillId="8" borderId="36" xfId="0" applyFont="1" applyFill="1" applyBorder="1" applyAlignment="1">
      <alignment horizontal="center"/>
    </xf>
    <xf numFmtId="0" fontId="7" fillId="8" borderId="10" xfId="0" applyFont="1" applyFill="1" applyBorder="1" applyAlignment="1">
      <alignment horizontal="center"/>
    </xf>
    <xf numFmtId="0" fontId="7" fillId="8" borderId="37" xfId="0" applyFont="1" applyFill="1" applyBorder="1" applyAlignment="1">
      <alignment horizontal="center"/>
    </xf>
    <xf numFmtId="0" fontId="21" fillId="15" borderId="20" xfId="0" applyFont="1" applyFill="1" applyBorder="1" applyAlignment="1">
      <alignment horizontal="center"/>
    </xf>
    <xf numFmtId="0" fontId="21" fillId="15" borderId="8" xfId="0" applyFont="1" applyFill="1" applyBorder="1" applyAlignment="1">
      <alignment horizontal="center"/>
    </xf>
    <xf numFmtId="0" fontId="21" fillId="15" borderId="21" xfId="0" applyFont="1" applyFill="1" applyBorder="1" applyAlignment="1">
      <alignment horizontal="center"/>
    </xf>
    <xf numFmtId="0" fontId="15" fillId="9" borderId="0" xfId="0" applyFont="1" applyFill="1" applyAlignment="1">
      <alignment horizontal="left" wrapText="1"/>
    </xf>
    <xf numFmtId="0" fontId="7" fillId="9" borderId="0" xfId="0" applyFont="1" applyFill="1" applyAlignment="1">
      <alignment horizontal="left" wrapText="1"/>
    </xf>
    <xf numFmtId="0" fontId="21" fillId="10" borderId="36" xfId="0" applyFont="1" applyFill="1" applyBorder="1" applyAlignment="1">
      <alignment horizontal="center"/>
    </xf>
    <xf numFmtId="0" fontId="21" fillId="10" borderId="10" xfId="0" applyFont="1" applyFill="1" applyBorder="1" applyAlignment="1">
      <alignment horizontal="center"/>
    </xf>
    <xf numFmtId="0" fontId="21" fillId="10" borderId="37" xfId="0" applyFont="1" applyFill="1" applyBorder="1" applyAlignment="1">
      <alignment horizontal="center"/>
    </xf>
    <xf numFmtId="0" fontId="72" fillId="9" borderId="18" xfId="0" applyFont="1" applyFill="1" applyBorder="1" applyAlignment="1">
      <alignment horizontal="left"/>
    </xf>
    <xf numFmtId="0" fontId="72" fillId="9" borderId="0" xfId="0" applyFont="1" applyFill="1" applyAlignment="1">
      <alignment horizontal="left"/>
    </xf>
    <xf numFmtId="0" fontId="72" fillId="9" borderId="19" xfId="0" applyFont="1" applyFill="1" applyBorder="1" applyAlignment="1">
      <alignment horizontal="left"/>
    </xf>
    <xf numFmtId="0" fontId="21" fillId="2" borderId="20" xfId="0" applyFont="1" applyFill="1" applyBorder="1" applyAlignment="1">
      <alignment horizontal="center"/>
    </xf>
    <xf numFmtId="0" fontId="21" fillId="2" borderId="8" xfId="0" applyFont="1" applyFill="1" applyBorder="1" applyAlignment="1">
      <alignment horizontal="center"/>
    </xf>
    <xf numFmtId="0" fontId="21" fillId="2" borderId="21" xfId="0" applyFont="1" applyFill="1" applyBorder="1" applyAlignment="1">
      <alignment horizontal="center"/>
    </xf>
    <xf numFmtId="0" fontId="21" fillId="6" borderId="36" xfId="0" applyFont="1" applyFill="1" applyBorder="1" applyAlignment="1">
      <alignment horizontal="center"/>
    </xf>
    <xf numFmtId="0" fontId="21" fillId="6" borderId="10" xfId="0" applyFont="1" applyFill="1" applyBorder="1" applyAlignment="1">
      <alignment horizontal="center"/>
    </xf>
    <xf numFmtId="0" fontId="21" fillId="6" borderId="37" xfId="0" applyFont="1" applyFill="1" applyBorder="1" applyAlignment="1">
      <alignment horizontal="center"/>
    </xf>
    <xf numFmtId="0" fontId="35" fillId="9" borderId="18" xfId="0" applyFont="1" applyFill="1" applyBorder="1" applyAlignment="1">
      <alignment horizontal="center"/>
    </xf>
    <xf numFmtId="0" fontId="14" fillId="9" borderId="19" xfId="0" applyFont="1" applyFill="1" applyBorder="1" applyAlignment="1">
      <alignment horizontal="center"/>
    </xf>
    <xf numFmtId="0" fontId="56" fillId="8" borderId="36" xfId="0" applyFont="1" applyFill="1" applyBorder="1" applyAlignment="1" applyProtection="1">
      <alignment horizontal="center"/>
      <protection locked="0"/>
    </xf>
    <xf numFmtId="0" fontId="56" fillId="8" borderId="37" xfId="0" applyFont="1" applyFill="1" applyBorder="1" applyAlignment="1" applyProtection="1">
      <alignment horizontal="center"/>
      <protection locked="0"/>
    </xf>
    <xf numFmtId="0" fontId="21" fillId="14" borderId="20" xfId="0" applyFont="1" applyFill="1" applyBorder="1" applyAlignment="1">
      <alignment horizontal="center"/>
    </xf>
    <xf numFmtId="0" fontId="21" fillId="14" borderId="8" xfId="0" applyFont="1" applyFill="1" applyBorder="1" applyAlignment="1">
      <alignment horizontal="center"/>
    </xf>
    <xf numFmtId="0" fontId="21" fillId="14" borderId="21" xfId="0" applyFont="1" applyFill="1" applyBorder="1" applyAlignment="1">
      <alignment horizontal="center"/>
    </xf>
    <xf numFmtId="0" fontId="15" fillId="0" borderId="42" xfId="0" applyFont="1" applyBorder="1" applyAlignment="1">
      <alignment horizontal="center"/>
    </xf>
    <xf numFmtId="0" fontId="15" fillId="0" borderId="19" xfId="0" applyFont="1" applyBorder="1" applyAlignment="1">
      <alignment horizontal="center"/>
    </xf>
    <xf numFmtId="49" fontId="56" fillId="8" borderId="36" xfId="0" applyNumberFormat="1" applyFont="1" applyFill="1" applyBorder="1" applyAlignment="1" applyProtection="1">
      <alignment horizontal="center"/>
      <protection locked="0"/>
    </xf>
    <xf numFmtId="49" fontId="56" fillId="8" borderId="10" xfId="0" applyNumberFormat="1" applyFont="1" applyFill="1" applyBorder="1" applyAlignment="1" applyProtection="1">
      <alignment horizontal="center"/>
      <protection locked="0"/>
    </xf>
    <xf numFmtId="49" fontId="56" fillId="8" borderId="37" xfId="0" applyNumberFormat="1" applyFont="1" applyFill="1" applyBorder="1" applyAlignment="1" applyProtection="1">
      <alignment horizontal="center"/>
      <protection locked="0"/>
    </xf>
    <xf numFmtId="0" fontId="7" fillId="9" borderId="0" xfId="0" applyFont="1" applyFill="1" applyAlignment="1" applyProtection="1">
      <alignment horizontal="left"/>
      <protection locked="0"/>
    </xf>
    <xf numFmtId="0" fontId="77" fillId="9" borderId="36" xfId="0" applyFont="1" applyFill="1" applyBorder="1" applyAlignment="1">
      <alignment horizontal="center"/>
    </xf>
    <xf numFmtId="0" fontId="77" fillId="9" borderId="10" xfId="0" applyFont="1" applyFill="1" applyBorder="1" applyAlignment="1">
      <alignment horizontal="center"/>
    </xf>
    <xf numFmtId="0" fontId="77" fillId="9" borderId="37" xfId="0" applyFont="1" applyFill="1" applyBorder="1" applyAlignment="1">
      <alignment horizontal="center"/>
    </xf>
    <xf numFmtId="0" fontId="7" fillId="9" borderId="19" xfId="0" applyFont="1" applyFill="1" applyBorder="1" applyAlignment="1">
      <alignment horizontal="center" wrapText="1"/>
    </xf>
    <xf numFmtId="0" fontId="3" fillId="0" borderId="0" xfId="0" applyFont="1" applyAlignment="1">
      <alignment horizontal="left" wrapText="1"/>
    </xf>
    <xf numFmtId="0" fontId="10" fillId="0" borderId="13" xfId="0" applyFont="1" applyBorder="1" applyAlignment="1" applyProtection="1">
      <alignment horizontal="center"/>
      <protection locked="0"/>
    </xf>
    <xf numFmtId="0" fontId="4" fillId="0" borderId="0" xfId="0" applyFont="1" applyAlignment="1" applyProtection="1">
      <alignment horizontal="center" wrapText="1"/>
      <protection locked="0"/>
    </xf>
    <xf numFmtId="0" fontId="10" fillId="0" borderId="0" xfId="0" applyFont="1" applyAlignment="1" applyProtection="1">
      <alignment horizontal="center"/>
      <protection locked="0"/>
    </xf>
    <xf numFmtId="0" fontId="48" fillId="0" borderId="0" xfId="4" applyAlignment="1" applyProtection="1">
      <alignment horizontal="left"/>
      <protection locked="0"/>
    </xf>
    <xf numFmtId="0" fontId="9" fillId="9" borderId="0" xfId="0" applyFont="1" applyFill="1" applyAlignment="1">
      <alignment horizontal="center"/>
    </xf>
    <xf numFmtId="0" fontId="9" fillId="9" borderId="5" xfId="0" applyFont="1" applyFill="1" applyBorder="1" applyAlignment="1">
      <alignment horizontal="center"/>
    </xf>
    <xf numFmtId="9" fontId="10" fillId="8" borderId="35" xfId="0" applyNumberFormat="1" applyFont="1" applyFill="1" applyBorder="1" applyAlignment="1">
      <alignment horizontal="center"/>
    </xf>
    <xf numFmtId="9" fontId="10" fillId="8" borderId="16" xfId="0" applyNumberFormat="1" applyFont="1" applyFill="1" applyBorder="1" applyAlignment="1">
      <alignment horizontal="center"/>
    </xf>
    <xf numFmtId="9" fontId="10" fillId="8" borderId="24" xfId="0" applyNumberFormat="1" applyFont="1" applyFill="1" applyBorder="1" applyAlignment="1">
      <alignment horizontal="center"/>
    </xf>
    <xf numFmtId="0" fontId="76" fillId="14" borderId="1" xfId="0" applyFont="1" applyFill="1" applyBorder="1" applyAlignment="1">
      <alignment horizontal="center"/>
    </xf>
    <xf numFmtId="0" fontId="76" fillId="14" borderId="2" xfId="0" applyFont="1" applyFill="1" applyBorder="1" applyAlignment="1">
      <alignment horizontal="center"/>
    </xf>
    <xf numFmtId="0" fontId="76" fillId="14" borderId="3" xfId="0" applyFont="1" applyFill="1" applyBorder="1" applyAlignment="1">
      <alignment horizontal="center"/>
    </xf>
    <xf numFmtId="0" fontId="74" fillId="0" borderId="0" xfId="0" applyFont="1" applyAlignment="1" applyProtection="1">
      <alignment horizontal="center"/>
      <protection locked="0"/>
    </xf>
    <xf numFmtId="0" fontId="25" fillId="14" borderId="1" xfId="0" applyFont="1" applyFill="1" applyBorder="1" applyAlignment="1">
      <alignment horizontal="center"/>
    </xf>
    <xf numFmtId="0" fontId="25" fillId="14" borderId="2" xfId="0" applyFont="1" applyFill="1" applyBorder="1" applyAlignment="1">
      <alignment horizontal="center"/>
    </xf>
    <xf numFmtId="0" fontId="25" fillId="14" borderId="3" xfId="0" applyFont="1" applyFill="1" applyBorder="1" applyAlignment="1">
      <alignment horizontal="center"/>
    </xf>
    <xf numFmtId="0" fontId="25" fillId="14" borderId="35" xfId="0" applyFont="1" applyFill="1" applyBorder="1" applyAlignment="1">
      <alignment horizontal="center"/>
    </xf>
    <xf numFmtId="0" fontId="25" fillId="14" borderId="16" xfId="0" applyFont="1" applyFill="1" applyBorder="1" applyAlignment="1">
      <alignment horizontal="center"/>
    </xf>
    <xf numFmtId="0" fontId="25" fillId="14" borderId="24" xfId="0" applyFont="1" applyFill="1" applyBorder="1" applyAlignment="1">
      <alignment horizontal="center"/>
    </xf>
    <xf numFmtId="0" fontId="75" fillId="14" borderId="1" xfId="0" applyFont="1" applyFill="1" applyBorder="1" applyAlignment="1">
      <alignment horizontal="center" vertical="center"/>
    </xf>
    <xf numFmtId="0" fontId="75" fillId="14" borderId="2" xfId="0" applyFont="1" applyFill="1" applyBorder="1" applyAlignment="1">
      <alignment horizontal="center" vertical="center"/>
    </xf>
    <xf numFmtId="0" fontId="75" fillId="14" borderId="3" xfId="0" applyFont="1" applyFill="1" applyBorder="1" applyAlignment="1">
      <alignment horizontal="center" vertical="center"/>
    </xf>
    <xf numFmtId="0" fontId="75" fillId="14" borderId="4" xfId="0" applyFont="1" applyFill="1" applyBorder="1" applyAlignment="1">
      <alignment horizontal="center" vertical="center"/>
    </xf>
    <xf numFmtId="0" fontId="75" fillId="14" borderId="0" xfId="0" applyFont="1" applyFill="1" applyAlignment="1">
      <alignment horizontal="center" vertical="center"/>
    </xf>
    <xf numFmtId="0" fontId="75" fillId="14" borderId="5" xfId="0" applyFont="1" applyFill="1" applyBorder="1" applyAlignment="1">
      <alignment horizontal="center" vertical="center"/>
    </xf>
    <xf numFmtId="0" fontId="10" fillId="0" borderId="35" xfId="0" applyFont="1" applyBorder="1" applyAlignment="1">
      <alignment horizontal="center"/>
    </xf>
    <xf numFmtId="0" fontId="10" fillId="0" borderId="16" xfId="0" applyFont="1" applyBorder="1" applyAlignment="1">
      <alignment horizontal="center"/>
    </xf>
    <xf numFmtId="0" fontId="10" fillId="0" borderId="24" xfId="0" applyFont="1" applyBorder="1" applyAlignment="1">
      <alignment horizontal="center"/>
    </xf>
    <xf numFmtId="0" fontId="10" fillId="0" borderId="36"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37" xfId="0" applyFont="1" applyBorder="1" applyAlignment="1" applyProtection="1">
      <alignment horizontal="center"/>
      <protection locked="0"/>
    </xf>
    <xf numFmtId="0" fontId="10" fillId="0" borderId="20" xfId="0" applyFont="1" applyBorder="1" applyAlignment="1">
      <alignment horizontal="center"/>
    </xf>
    <xf numFmtId="0" fontId="10" fillId="0" borderId="8" xfId="0" applyFont="1" applyBorder="1" applyAlignment="1">
      <alignment horizontal="center"/>
    </xf>
    <xf numFmtId="0" fontId="21" fillId="14" borderId="0" xfId="0" applyFont="1" applyFill="1" applyAlignment="1">
      <alignment horizontal="center"/>
    </xf>
    <xf numFmtId="0" fontId="12" fillId="0" borderId="57" xfId="0" applyFont="1" applyBorder="1" applyAlignment="1">
      <alignment horizontal="center"/>
    </xf>
    <xf numFmtId="0" fontId="12" fillId="0" borderId="58" xfId="0" applyFont="1" applyBorder="1" applyAlignment="1">
      <alignment horizontal="center"/>
    </xf>
    <xf numFmtId="0" fontId="12" fillId="0" borderId="42" xfId="0" applyFont="1" applyBorder="1" applyAlignment="1">
      <alignment horizontal="center"/>
    </xf>
    <xf numFmtId="0" fontId="4" fillId="0" borderId="57" xfId="0" applyFont="1" applyBorder="1" applyAlignment="1">
      <alignment horizontal="center"/>
    </xf>
    <xf numFmtId="0" fontId="4" fillId="0" borderId="58" xfId="0" applyFont="1" applyBorder="1" applyAlignment="1">
      <alignment horizontal="center"/>
    </xf>
    <xf numFmtId="0" fontId="4" fillId="0" borderId="42" xfId="0" applyFont="1" applyBorder="1" applyAlignment="1">
      <alignment horizontal="center"/>
    </xf>
    <xf numFmtId="0" fontId="4" fillId="0" borderId="0" xfId="0" applyFont="1" applyAlignment="1">
      <alignment horizontal="left" wrapText="1"/>
    </xf>
    <xf numFmtId="0" fontId="4" fillId="0" borderId="8" xfId="0" applyFont="1" applyBorder="1" applyAlignment="1">
      <alignment horizontal="left"/>
    </xf>
    <xf numFmtId="0" fontId="25" fillId="13" borderId="57" xfId="0" applyFont="1" applyFill="1" applyBorder="1" applyAlignment="1">
      <alignment horizontal="center"/>
    </xf>
    <xf numFmtId="0" fontId="25" fillId="13" borderId="58" xfId="0" applyFont="1" applyFill="1" applyBorder="1" applyAlignment="1">
      <alignment horizontal="center"/>
    </xf>
    <xf numFmtId="0" fontId="25" fillId="13" borderId="42" xfId="0" applyFont="1" applyFill="1" applyBorder="1" applyAlignment="1">
      <alignment horizontal="center"/>
    </xf>
    <xf numFmtId="0" fontId="0" fillId="0" borderId="0" xfId="0" applyAlignment="1">
      <alignment horizontal="left" wrapText="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18453B"/>
      <color rgb="FF0DB14B"/>
      <color rgb="FFF2C400"/>
      <color rgb="FF63C3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a:t>
            </a:r>
            <a:r>
              <a:rPr lang="en-US" b="1" baseline="0"/>
              <a:t> Costs (Crop 1)</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Charts!$B$1</c:f>
              <c:strCache>
                <c:ptCount val="1"/>
                <c:pt idx="0">
                  <c:v>Corn</c:v>
                </c:pt>
              </c:strCache>
            </c:strRef>
          </c:tx>
          <c:spPr>
            <a:solidFill>
              <a:srgbClr val="F2C400"/>
            </a:solidFill>
            <a:ln>
              <a:noFill/>
            </a:ln>
            <a:effectLst/>
          </c:spPr>
          <c:invertIfNegative val="0"/>
          <c:cat>
            <c:strRef>
              <c:f>Charts!$A$2:$A$41</c:f>
              <c:strCache>
                <c:ptCount val="24"/>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Marketing</c:v>
                </c:pt>
                <c:pt idx="14">
                  <c:v>Hired Labor</c:v>
                </c:pt>
                <c:pt idx="15">
                  <c:v>Farm Insurance</c:v>
                </c:pt>
                <c:pt idx="16">
                  <c:v>Real Estate Taxes</c:v>
                </c:pt>
                <c:pt idx="17">
                  <c:v>Land Rent</c:v>
                </c:pt>
                <c:pt idx="18">
                  <c:v>Depreciation (Economic )</c:v>
                </c:pt>
                <c:pt idx="19">
                  <c:v>Other (variable &amp; fixed)</c:v>
                </c:pt>
                <c:pt idx="20">
                  <c:v>Income Taxes</c:v>
                </c:pt>
                <c:pt idx="21">
                  <c:v>Owner Withdrawal</c:v>
                </c:pt>
                <c:pt idx="22">
                  <c:v>Interest (Oper &amp; Term)</c:v>
                </c:pt>
                <c:pt idx="23">
                  <c:v>Principal Payment</c:v>
                </c:pt>
              </c:strCache>
            </c:strRef>
          </c:cat>
          <c:val>
            <c:numRef>
              <c:f>Charts!$B$2:$B$41</c:f>
              <c:numCache>
                <c:formatCode>_("$"* #,##0.00_);_("$"* \(#,##0.00\);_("$"*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0118-4176-9F66-FA529A985056}"/>
            </c:ext>
          </c:extLst>
        </c:ser>
        <c:dLbls>
          <c:showLegendKey val="0"/>
          <c:showVal val="0"/>
          <c:showCatName val="0"/>
          <c:showSerName val="0"/>
          <c:showPercent val="0"/>
          <c:showBubbleSize val="0"/>
        </c:dLbls>
        <c:gapWidth val="182"/>
        <c:axId val="2047158064"/>
        <c:axId val="1807838016"/>
      </c:barChart>
      <c:catAx>
        <c:axId val="2047158064"/>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807838016"/>
        <c:crosses val="autoZero"/>
        <c:auto val="1"/>
        <c:lblAlgn val="ctr"/>
        <c:lblOffset val="100"/>
        <c:noMultiLvlLbl val="0"/>
      </c:catAx>
      <c:valAx>
        <c:axId val="180783801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4715806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 Costs (Crop 2)</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Charts!$C$1</c:f>
              <c:strCache>
                <c:ptCount val="1"/>
                <c:pt idx="0">
                  <c:v>Soybeans</c:v>
                </c:pt>
              </c:strCache>
            </c:strRef>
          </c:tx>
          <c:spPr>
            <a:solidFill>
              <a:schemeClr val="accent1"/>
            </a:solidFill>
            <a:ln>
              <a:noFill/>
            </a:ln>
            <a:effectLst/>
          </c:spPr>
          <c:invertIfNegative val="0"/>
          <c:cat>
            <c:strRef>
              <c:f>Charts!$A$2:$A$41</c:f>
              <c:strCache>
                <c:ptCount val="24"/>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Marketing</c:v>
                </c:pt>
                <c:pt idx="14">
                  <c:v>Hired Labor</c:v>
                </c:pt>
                <c:pt idx="15">
                  <c:v>Farm Insurance</c:v>
                </c:pt>
                <c:pt idx="16">
                  <c:v>Real Estate Taxes</c:v>
                </c:pt>
                <c:pt idx="17">
                  <c:v>Land Rent</c:v>
                </c:pt>
                <c:pt idx="18">
                  <c:v>Depreciation (Economic )</c:v>
                </c:pt>
                <c:pt idx="19">
                  <c:v>Other (variable &amp; fixed)</c:v>
                </c:pt>
                <c:pt idx="20">
                  <c:v>Income Taxes</c:v>
                </c:pt>
                <c:pt idx="21">
                  <c:v>Owner Withdrawal</c:v>
                </c:pt>
                <c:pt idx="22">
                  <c:v>Interest (Oper &amp; Term)</c:v>
                </c:pt>
                <c:pt idx="23">
                  <c:v>Principal Payment</c:v>
                </c:pt>
              </c:strCache>
            </c:strRef>
          </c:cat>
          <c:val>
            <c:numRef>
              <c:f>Charts!$C$2:$C$41</c:f>
              <c:numCache>
                <c:formatCode>_("$"* #,##0.00_);_("$"* \(#,##0.00\);_("$"*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9615-4231-A1DF-B2B46C0A93E6}"/>
            </c:ext>
          </c:extLst>
        </c:ser>
        <c:dLbls>
          <c:showLegendKey val="0"/>
          <c:showVal val="0"/>
          <c:showCatName val="0"/>
          <c:showSerName val="0"/>
          <c:showPercent val="0"/>
          <c:showBubbleSize val="0"/>
        </c:dLbls>
        <c:gapWidth val="182"/>
        <c:axId val="1696257040"/>
        <c:axId val="1696913568"/>
      </c:barChart>
      <c:catAx>
        <c:axId val="169625704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6913568"/>
        <c:crosses val="autoZero"/>
        <c:auto val="1"/>
        <c:lblAlgn val="ctr"/>
        <c:lblOffset val="100"/>
        <c:noMultiLvlLbl val="0"/>
      </c:catAx>
      <c:valAx>
        <c:axId val="169691356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6257040"/>
        <c:crosses val="autoZero"/>
        <c:crossBetween val="between"/>
        <c:majorUnit val="0.2"/>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Total Costs (Crop 3)</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Charts!$D$1</c:f>
              <c:strCache>
                <c:ptCount val="1"/>
                <c:pt idx="0">
                  <c:v>Wheat</c:v>
                </c:pt>
              </c:strCache>
            </c:strRef>
          </c:tx>
          <c:spPr>
            <a:solidFill>
              <a:srgbClr val="0DB14B"/>
            </a:solidFill>
            <a:ln>
              <a:noFill/>
            </a:ln>
            <a:effectLst/>
          </c:spPr>
          <c:invertIfNegative val="0"/>
          <c:cat>
            <c:strRef>
              <c:f>Charts!$A$2:$A$41</c:f>
              <c:strCache>
                <c:ptCount val="24"/>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Marketing</c:v>
                </c:pt>
                <c:pt idx="14">
                  <c:v>Hired Labor</c:v>
                </c:pt>
                <c:pt idx="15">
                  <c:v>Farm Insurance</c:v>
                </c:pt>
                <c:pt idx="16">
                  <c:v>Real Estate Taxes</c:v>
                </c:pt>
                <c:pt idx="17">
                  <c:v>Land Rent</c:v>
                </c:pt>
                <c:pt idx="18">
                  <c:v>Depreciation (Economic )</c:v>
                </c:pt>
                <c:pt idx="19">
                  <c:v>Other (variable &amp; fixed)</c:v>
                </c:pt>
                <c:pt idx="20">
                  <c:v>Income Taxes</c:v>
                </c:pt>
                <c:pt idx="21">
                  <c:v>Owner Withdrawal</c:v>
                </c:pt>
                <c:pt idx="22">
                  <c:v>Interest (Oper &amp; Term)</c:v>
                </c:pt>
                <c:pt idx="23">
                  <c:v>Principal Payment</c:v>
                </c:pt>
              </c:strCache>
            </c:strRef>
          </c:cat>
          <c:val>
            <c:numRef>
              <c:f>Charts!$D$2:$D$41</c:f>
              <c:numCache>
                <c:formatCode>_("$"* #,##0.00_);_("$"* \(#,##0.00\);_("$"*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BFE9-44C3-AD01-09567EE0EAD0}"/>
            </c:ext>
          </c:extLst>
        </c:ser>
        <c:dLbls>
          <c:showLegendKey val="0"/>
          <c:showVal val="0"/>
          <c:showCatName val="0"/>
          <c:showSerName val="0"/>
          <c:showPercent val="0"/>
          <c:showBubbleSize val="0"/>
        </c:dLbls>
        <c:gapWidth val="182"/>
        <c:axId val="2057970032"/>
        <c:axId val="1646701184"/>
      </c:barChart>
      <c:catAx>
        <c:axId val="2057970032"/>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46701184"/>
        <c:crosses val="autoZero"/>
        <c:auto val="1"/>
        <c:lblAlgn val="ctr"/>
        <c:lblOffset val="100"/>
        <c:noMultiLvlLbl val="0"/>
      </c:catAx>
      <c:valAx>
        <c:axId val="1646701184"/>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57970032"/>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 Costs (Crop 2)</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Charts!$C$1</c:f>
              <c:strCache>
                <c:ptCount val="1"/>
                <c:pt idx="0">
                  <c:v>Soybeans</c:v>
                </c:pt>
              </c:strCache>
            </c:strRef>
          </c:tx>
          <c:spPr>
            <a:solidFill>
              <a:schemeClr val="accent1"/>
            </a:solidFill>
            <a:ln>
              <a:noFill/>
            </a:ln>
            <a:effectLst/>
          </c:spPr>
          <c:invertIfNegative val="0"/>
          <c:cat>
            <c:strRef>
              <c:f>Charts!$A$2:$A$41</c:f>
              <c:strCache>
                <c:ptCount val="24"/>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Marketing</c:v>
                </c:pt>
                <c:pt idx="14">
                  <c:v>Hired Labor</c:v>
                </c:pt>
                <c:pt idx="15">
                  <c:v>Farm Insurance</c:v>
                </c:pt>
                <c:pt idx="16">
                  <c:v>Real Estate Taxes</c:v>
                </c:pt>
                <c:pt idx="17">
                  <c:v>Land Rent</c:v>
                </c:pt>
                <c:pt idx="18">
                  <c:v>Depreciation (Economic )</c:v>
                </c:pt>
                <c:pt idx="19">
                  <c:v>Other (variable &amp; fixed)</c:v>
                </c:pt>
                <c:pt idx="20">
                  <c:v>Income Taxes</c:v>
                </c:pt>
                <c:pt idx="21">
                  <c:v>Owner Withdrawal</c:v>
                </c:pt>
                <c:pt idx="22">
                  <c:v>Interest (Oper &amp; Term)</c:v>
                </c:pt>
                <c:pt idx="23">
                  <c:v>Principal Payment</c:v>
                </c:pt>
              </c:strCache>
            </c:strRef>
          </c:cat>
          <c:val>
            <c:numRef>
              <c:f>Charts!$C$2:$C$41</c:f>
              <c:numCache>
                <c:formatCode>_("$"* #,##0.00_);_("$"* \(#,##0.00\);_("$"*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6D15-49E6-8121-B4D8635286CB}"/>
            </c:ext>
          </c:extLst>
        </c:ser>
        <c:dLbls>
          <c:showLegendKey val="0"/>
          <c:showVal val="0"/>
          <c:showCatName val="0"/>
          <c:showSerName val="0"/>
          <c:showPercent val="0"/>
          <c:showBubbleSize val="0"/>
        </c:dLbls>
        <c:gapWidth val="182"/>
        <c:axId val="1696257040"/>
        <c:axId val="1696913568"/>
      </c:barChart>
      <c:catAx>
        <c:axId val="169625704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6913568"/>
        <c:crosses val="autoZero"/>
        <c:auto val="1"/>
        <c:lblAlgn val="ctr"/>
        <c:lblOffset val="100"/>
        <c:noMultiLvlLbl val="0"/>
      </c:catAx>
      <c:valAx>
        <c:axId val="169691356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6257040"/>
        <c:crosses val="autoZero"/>
        <c:crossBetween val="between"/>
        <c:majorUnit val="0.2"/>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Total Costs (Crop 3)</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Charts!$D$1</c:f>
              <c:strCache>
                <c:ptCount val="1"/>
                <c:pt idx="0">
                  <c:v>Wheat</c:v>
                </c:pt>
              </c:strCache>
            </c:strRef>
          </c:tx>
          <c:spPr>
            <a:solidFill>
              <a:srgbClr val="0DB14B"/>
            </a:solidFill>
            <a:ln>
              <a:noFill/>
            </a:ln>
            <a:effectLst/>
          </c:spPr>
          <c:invertIfNegative val="0"/>
          <c:cat>
            <c:strRef>
              <c:f>Charts!$A$2:$A$41</c:f>
              <c:strCache>
                <c:ptCount val="24"/>
                <c:pt idx="0">
                  <c:v>Seed</c:v>
                </c:pt>
                <c:pt idx="1">
                  <c:v>Fertilizer</c:v>
                </c:pt>
                <c:pt idx="2">
                  <c:v>Crop Chemicals</c:v>
                </c:pt>
                <c:pt idx="3">
                  <c:v>Crop Insurance</c:v>
                </c:pt>
                <c:pt idx="4">
                  <c:v>Crop Miscellaneous</c:v>
                </c:pt>
                <c:pt idx="5">
                  <c:v>Supplies</c:v>
                </c:pt>
                <c:pt idx="6">
                  <c:v>Gas/Fuel</c:v>
                </c:pt>
                <c:pt idx="7">
                  <c:v>Repairs &amp; Maintenance</c:v>
                </c:pt>
                <c:pt idx="8">
                  <c:v>Custom Hire</c:v>
                </c:pt>
                <c:pt idx="9">
                  <c:v>Freight &amp; Trucking</c:v>
                </c:pt>
                <c:pt idx="10">
                  <c:v>Storage</c:v>
                </c:pt>
                <c:pt idx="11">
                  <c:v>Utilities</c:v>
                </c:pt>
                <c:pt idx="12">
                  <c:v>Irrigation</c:v>
                </c:pt>
                <c:pt idx="13">
                  <c:v>Marketing</c:v>
                </c:pt>
                <c:pt idx="14">
                  <c:v>Hired Labor</c:v>
                </c:pt>
                <c:pt idx="15">
                  <c:v>Farm Insurance</c:v>
                </c:pt>
                <c:pt idx="16">
                  <c:v>Real Estate Taxes</c:v>
                </c:pt>
                <c:pt idx="17">
                  <c:v>Land Rent</c:v>
                </c:pt>
                <c:pt idx="18">
                  <c:v>Depreciation (Economic )</c:v>
                </c:pt>
                <c:pt idx="19">
                  <c:v>Other (variable &amp; fixed)</c:v>
                </c:pt>
                <c:pt idx="20">
                  <c:v>Income Taxes</c:v>
                </c:pt>
                <c:pt idx="21">
                  <c:v>Owner Withdrawal</c:v>
                </c:pt>
                <c:pt idx="22">
                  <c:v>Interest (Oper &amp; Term)</c:v>
                </c:pt>
                <c:pt idx="23">
                  <c:v>Principal Payment</c:v>
                </c:pt>
              </c:strCache>
            </c:strRef>
          </c:cat>
          <c:val>
            <c:numRef>
              <c:f>Charts!$D$2:$D$41</c:f>
              <c:numCache>
                <c:formatCode>_("$"* #,##0.00_);_("$"* \(#,##0.00\);_("$"*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C851-403A-AB58-40F1CFC747C2}"/>
            </c:ext>
          </c:extLst>
        </c:ser>
        <c:dLbls>
          <c:showLegendKey val="0"/>
          <c:showVal val="0"/>
          <c:showCatName val="0"/>
          <c:showSerName val="0"/>
          <c:showPercent val="0"/>
          <c:showBubbleSize val="0"/>
        </c:dLbls>
        <c:gapWidth val="182"/>
        <c:axId val="2057970032"/>
        <c:axId val="1646701184"/>
      </c:barChart>
      <c:catAx>
        <c:axId val="2057970032"/>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46701184"/>
        <c:crosses val="autoZero"/>
        <c:auto val="1"/>
        <c:lblAlgn val="ctr"/>
        <c:lblOffset val="100"/>
        <c:noMultiLvlLbl val="0"/>
      </c:catAx>
      <c:valAx>
        <c:axId val="1646701184"/>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high"/>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57970032"/>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2</xdr:row>
      <xdr:rowOff>166687</xdr:rowOff>
    </xdr:from>
    <xdr:to>
      <xdr:col>2</xdr:col>
      <xdr:colOff>1607789</xdr:colOff>
      <xdr:row>5</xdr:row>
      <xdr:rowOff>95250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547687"/>
          <a:ext cx="2681733" cy="519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93166</xdr:colOff>
      <xdr:row>2</xdr:row>
      <xdr:rowOff>169333</xdr:rowOff>
    </xdr:from>
    <xdr:to>
      <xdr:col>17</xdr:col>
      <xdr:colOff>1548079</xdr:colOff>
      <xdr:row>5</xdr:row>
      <xdr:rowOff>85196</xdr:rowOff>
    </xdr:to>
    <xdr:pic>
      <xdr:nvPicPr>
        <xdr:cNvPr id="4" name="Picture 3">
          <a:extLst>
            <a:ext uri="{FF2B5EF4-FFF2-40B4-BE49-F238E27FC236}">
              <a16:creationId xmlns:a16="http://schemas.microsoft.com/office/drawing/2014/main" id="{F2F94B30-CBBD-4F70-8B11-4971C4DC70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2499" y="558800"/>
          <a:ext cx="2674113" cy="50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63501</xdr:colOff>
      <xdr:row>147</xdr:row>
      <xdr:rowOff>4</xdr:rowOff>
    </xdr:from>
    <xdr:to>
      <xdr:col>4</xdr:col>
      <xdr:colOff>690562</xdr:colOff>
      <xdr:row>174</xdr:row>
      <xdr:rowOff>226218</xdr:rowOff>
    </xdr:to>
    <xdr:graphicFrame macro="">
      <xdr:nvGraphicFramePr>
        <xdr:cNvPr id="6" name="Chart 5">
          <a:extLst>
            <a:ext uri="{FF2B5EF4-FFF2-40B4-BE49-F238E27FC236}">
              <a16:creationId xmlns:a16="http://schemas.microsoft.com/office/drawing/2014/main" id="{3C32D511-0CA8-4129-A406-BB0EEF258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923925</xdr:colOff>
      <xdr:row>147</xdr:row>
      <xdr:rowOff>38100</xdr:rowOff>
    </xdr:from>
    <xdr:to>
      <xdr:col>12</xdr:col>
      <xdr:colOff>1072622</xdr:colOff>
      <xdr:row>175</xdr:row>
      <xdr:rowOff>38101</xdr:rowOff>
    </xdr:to>
    <xdr:graphicFrame macro="">
      <xdr:nvGraphicFramePr>
        <xdr:cNvPr id="7" name="Chart 6">
          <a:extLst>
            <a:ext uri="{FF2B5EF4-FFF2-40B4-BE49-F238E27FC236}">
              <a16:creationId xmlns:a16="http://schemas.microsoft.com/office/drawing/2014/main" id="{10F78EC2-6EA0-47D0-8BAB-E75114BD6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8730</xdr:colOff>
      <xdr:row>175</xdr:row>
      <xdr:rowOff>108485</xdr:rowOff>
    </xdr:from>
    <xdr:to>
      <xdr:col>4</xdr:col>
      <xdr:colOff>671513</xdr:colOff>
      <xdr:row>202</xdr:row>
      <xdr:rowOff>114300</xdr:rowOff>
    </xdr:to>
    <xdr:graphicFrame macro="">
      <xdr:nvGraphicFramePr>
        <xdr:cNvPr id="8" name="Chart 7">
          <a:extLst>
            <a:ext uri="{FF2B5EF4-FFF2-40B4-BE49-F238E27FC236}">
              <a16:creationId xmlns:a16="http://schemas.microsoft.com/office/drawing/2014/main" id="{3857ECDC-3777-45E0-A97D-4BBE4CA77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107156</xdr:colOff>
      <xdr:row>0</xdr:row>
      <xdr:rowOff>52387</xdr:rowOff>
    </xdr:from>
    <xdr:ext cx="2681733" cy="519113"/>
    <xdr:pic>
      <xdr:nvPicPr>
        <xdr:cNvPr id="13" name="Picture 12">
          <a:extLst>
            <a:ext uri="{FF2B5EF4-FFF2-40B4-BE49-F238E27FC236}">
              <a16:creationId xmlns:a16="http://schemas.microsoft.com/office/drawing/2014/main" id="{EB48BA07-1F19-4C69-B1AE-743FC6C705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7156" y="52387"/>
          <a:ext cx="2681733" cy="519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absolute">
    <xdr:from>
      <xdr:col>4</xdr:col>
      <xdr:colOff>566738</xdr:colOff>
      <xdr:row>142</xdr:row>
      <xdr:rowOff>204788</xdr:rowOff>
    </xdr:from>
    <xdr:to>
      <xdr:col>13</xdr:col>
      <xdr:colOff>251091</xdr:colOff>
      <xdr:row>170</xdr:row>
      <xdr:rowOff>204789</xdr:rowOff>
    </xdr:to>
    <xdr:graphicFrame macro="">
      <xdr:nvGraphicFramePr>
        <xdr:cNvPr id="3" name="Chart 2">
          <a:extLst>
            <a:ext uri="{FF2B5EF4-FFF2-40B4-BE49-F238E27FC236}">
              <a16:creationId xmlns:a16="http://schemas.microsoft.com/office/drawing/2014/main" id="{29856894-57FA-412D-80B6-8320904DAE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20636</xdr:colOff>
      <xdr:row>171</xdr:row>
      <xdr:rowOff>84673</xdr:rowOff>
    </xdr:from>
    <xdr:to>
      <xdr:col>4</xdr:col>
      <xdr:colOff>350044</xdr:colOff>
      <xdr:row>198</xdr:row>
      <xdr:rowOff>90488</xdr:rowOff>
    </xdr:to>
    <xdr:graphicFrame macro="">
      <xdr:nvGraphicFramePr>
        <xdr:cNvPr id="4" name="Chart 3">
          <a:extLst>
            <a:ext uri="{FF2B5EF4-FFF2-40B4-BE49-F238E27FC236}">
              <a16:creationId xmlns:a16="http://schemas.microsoft.com/office/drawing/2014/main" id="{F0A42CE1-46BB-4D1C-B4E9-EA229FF58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47624</xdr:colOff>
      <xdr:row>75</xdr:row>
      <xdr:rowOff>56357</xdr:rowOff>
    </xdr:from>
    <xdr:ext cx="1905000" cy="368758"/>
    <xdr:pic>
      <xdr:nvPicPr>
        <xdr:cNvPr id="2" name="Picture 1">
          <a:extLst>
            <a:ext uri="{FF2B5EF4-FFF2-40B4-BE49-F238E27FC236}">
              <a16:creationId xmlns:a16="http://schemas.microsoft.com/office/drawing/2014/main" id="{18F68BB6-3506-4AF9-8AA6-5362E6B9DE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4" y="13040837"/>
          <a:ext cx="1905000" cy="368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21702</xdr:colOff>
      <xdr:row>46</xdr:row>
      <xdr:rowOff>28575</xdr:rowOff>
    </xdr:from>
    <xdr:ext cx="2869246" cy="3701335"/>
    <xdr:pic>
      <xdr:nvPicPr>
        <xdr:cNvPr id="8" name="Picture 7">
          <a:extLst>
            <a:ext uri="{FF2B5EF4-FFF2-40B4-BE49-F238E27FC236}">
              <a16:creationId xmlns:a16="http://schemas.microsoft.com/office/drawing/2014/main" id="{F44C8A0E-0A61-4EEB-B868-5FADA1C67B88}"/>
            </a:ext>
          </a:extLst>
        </xdr:cNvPr>
        <xdr:cNvPicPr>
          <a:picLocks noChangeAspect="1"/>
        </xdr:cNvPicPr>
      </xdr:nvPicPr>
      <xdr:blipFill>
        <a:blip xmlns:r="http://schemas.openxmlformats.org/officeDocument/2006/relationships" r:embed="rId2"/>
        <a:stretch>
          <a:fillRect/>
        </a:stretch>
      </xdr:blipFill>
      <xdr:spPr>
        <a:xfrm>
          <a:off x="12678046" y="8410575"/>
          <a:ext cx="2869246" cy="370133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76200</xdr:colOff>
      <xdr:row>1</xdr:row>
      <xdr:rowOff>152400</xdr:rowOff>
    </xdr:from>
    <xdr:ext cx="3043979" cy="3575521"/>
    <xdr:pic>
      <xdr:nvPicPr>
        <xdr:cNvPr id="2" name="Picture 1">
          <a:extLst>
            <a:ext uri="{FF2B5EF4-FFF2-40B4-BE49-F238E27FC236}">
              <a16:creationId xmlns:a16="http://schemas.microsoft.com/office/drawing/2014/main" id="{503DFF6D-8057-482E-8B14-41E245CB7086}"/>
            </a:ext>
          </a:extLst>
        </xdr:cNvPr>
        <xdr:cNvPicPr>
          <a:picLocks noChangeAspect="1"/>
        </xdr:cNvPicPr>
      </xdr:nvPicPr>
      <xdr:blipFill>
        <a:blip xmlns:r="http://schemas.openxmlformats.org/officeDocument/2006/relationships" r:embed="rId1"/>
        <a:stretch>
          <a:fillRect/>
        </a:stretch>
      </xdr:blipFill>
      <xdr:spPr>
        <a:xfrm>
          <a:off x="1905000" y="335280"/>
          <a:ext cx="3043979" cy="357552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8</xdr:col>
      <xdr:colOff>28575</xdr:colOff>
      <xdr:row>26</xdr:row>
      <xdr:rowOff>123825</xdr:rowOff>
    </xdr:from>
    <xdr:to>
      <xdr:col>12</xdr:col>
      <xdr:colOff>457955</xdr:colOff>
      <xdr:row>56</xdr:row>
      <xdr:rowOff>48413</xdr:rowOff>
    </xdr:to>
    <xdr:pic>
      <xdr:nvPicPr>
        <xdr:cNvPr id="3" name="Picture 2">
          <a:extLst>
            <a:ext uri="{FF2B5EF4-FFF2-40B4-BE49-F238E27FC236}">
              <a16:creationId xmlns:a16="http://schemas.microsoft.com/office/drawing/2014/main" id="{612754E7-B58D-478C-8378-87A210CDDA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58325" y="5381625"/>
          <a:ext cx="5410955" cy="5649113"/>
        </a:xfrm>
        <a:prstGeom prst="rect">
          <a:avLst/>
        </a:prstGeom>
        <a:ln>
          <a:solidFill>
            <a:schemeClr val="bg1">
              <a:lumMod val="75000"/>
            </a:schemeClr>
          </a:solidFill>
        </a:ln>
      </xdr:spPr>
    </xdr:pic>
    <xdr:clientData/>
  </xdr:twoCellAnchor>
  <xdr:twoCellAnchor editAs="oneCell">
    <xdr:from>
      <xdr:col>1</xdr:col>
      <xdr:colOff>9525</xdr:colOff>
      <xdr:row>27</xdr:row>
      <xdr:rowOff>57150</xdr:rowOff>
    </xdr:from>
    <xdr:to>
      <xdr:col>5</xdr:col>
      <xdr:colOff>448439</xdr:colOff>
      <xdr:row>57</xdr:row>
      <xdr:rowOff>115106</xdr:rowOff>
    </xdr:to>
    <xdr:pic>
      <xdr:nvPicPr>
        <xdr:cNvPr id="6" name="Picture 5">
          <a:extLst>
            <a:ext uri="{FF2B5EF4-FFF2-40B4-BE49-F238E27FC236}">
              <a16:creationId xmlns:a16="http://schemas.microsoft.com/office/drawing/2014/main" id="{119805F5-4E90-4653-B59B-96889FEB2A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5514975"/>
          <a:ext cx="5477639" cy="577295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canr.msu.edu/fertrec/" TargetMode="External"/><Relationship Id="rId7" Type="http://schemas.openxmlformats.org/officeDocument/2006/relationships/hyperlink" Target="https://www.canr.msu.edu/fertrec/uploads/E-2934-MSU-Nutrient-recomdns-veg-crops.pdf" TargetMode="External"/><Relationship Id="rId2" Type="http://schemas.openxmlformats.org/officeDocument/2006/relationships/hyperlink" Target="https://agcrops.osu.edu/FertilityResources/tri-state_info" TargetMode="External"/><Relationship Id="rId1" Type="http://schemas.openxmlformats.org/officeDocument/2006/relationships/hyperlink" Target="https://soil.msu.edu/wp-content/uploads/2014/06/MSU-Nutrient-recomdns-field-crops-E-2904.pdf" TargetMode="External"/><Relationship Id="rId6" Type="http://schemas.openxmlformats.org/officeDocument/2006/relationships/hyperlink" Target="https://extension.umn.edu/manure-management/manure-application-methods-and-nitrogen-losses" TargetMode="External"/><Relationship Id="rId5" Type="http://schemas.openxmlformats.org/officeDocument/2006/relationships/hyperlink" Target="https://www.michigan.gov/mdard/0,4610,7-125-1599_1605---,00.html" TargetMode="External"/><Relationship Id="rId4" Type="http://schemas.openxmlformats.org/officeDocument/2006/relationships/hyperlink" Target="http://cnrc.agron.iastate.edu/" TargetMode="External"/><Relationship Id="rId9"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extension.umn.edu/manure-management/manure-application-methods-and-nitrogen-losses" TargetMode="External"/><Relationship Id="rId1" Type="http://schemas.openxmlformats.org/officeDocument/2006/relationships/hyperlink" Target="https://www.michigan.gov/mdard/0,4610,7-125-1599_1605---,00.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oil.msu.edu/wp-content/uploads/2014/06/MSU-Nutrient-recomdns-field-crops-E-2904.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wveguid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55"/>
  <sheetViews>
    <sheetView tabSelected="1" zoomScale="80" zoomScaleNormal="80" workbookViewId="0">
      <selection activeCell="E22" sqref="E22:R22"/>
    </sheetView>
  </sheetViews>
  <sheetFormatPr defaultColWidth="8.85546875" defaultRowHeight="15"/>
  <cols>
    <col min="3" max="3" width="33.42578125" bestFit="1" customWidth="1"/>
    <col min="4" max="4" width="1.42578125" customWidth="1"/>
    <col min="18" max="18" width="32.7109375" customWidth="1"/>
  </cols>
  <sheetData>
    <row r="1" spans="1:18" ht="15" customHeight="1">
      <c r="A1" s="863" t="s">
        <v>897</v>
      </c>
      <c r="B1" s="864"/>
      <c r="C1" s="864"/>
      <c r="D1" s="864"/>
      <c r="E1" s="864"/>
      <c r="F1" s="864"/>
      <c r="G1" s="864"/>
      <c r="H1" s="864"/>
      <c r="I1" s="864"/>
      <c r="J1" s="864"/>
      <c r="K1" s="864"/>
      <c r="L1" s="864"/>
      <c r="M1" s="864"/>
      <c r="N1" s="864"/>
      <c r="O1" s="864"/>
      <c r="P1" s="864"/>
      <c r="Q1" s="864"/>
      <c r="R1" s="865"/>
    </row>
    <row r="2" spans="1:18" ht="15" customHeight="1">
      <c r="A2" s="866"/>
      <c r="B2" s="867"/>
      <c r="C2" s="867"/>
      <c r="D2" s="867"/>
      <c r="E2" s="867"/>
      <c r="F2" s="867"/>
      <c r="G2" s="867"/>
      <c r="H2" s="867"/>
      <c r="I2" s="867"/>
      <c r="J2" s="867"/>
      <c r="K2" s="867"/>
      <c r="L2" s="867"/>
      <c r="M2" s="867"/>
      <c r="N2" s="867"/>
      <c r="O2" s="867"/>
      <c r="P2" s="867"/>
      <c r="Q2" s="867"/>
      <c r="R2" s="868"/>
    </row>
    <row r="3" spans="1:18" ht="15" customHeight="1">
      <c r="A3" s="866"/>
      <c r="B3" s="867"/>
      <c r="C3" s="867"/>
      <c r="D3" s="867"/>
      <c r="E3" s="867"/>
      <c r="F3" s="867"/>
      <c r="G3" s="867"/>
      <c r="H3" s="867"/>
      <c r="I3" s="867"/>
      <c r="J3" s="867"/>
      <c r="K3" s="867"/>
      <c r="L3" s="867"/>
      <c r="M3" s="867"/>
      <c r="N3" s="867"/>
      <c r="O3" s="867"/>
      <c r="P3" s="867"/>
      <c r="Q3" s="867"/>
      <c r="R3" s="868"/>
    </row>
    <row r="4" spans="1:18" ht="15.75">
      <c r="A4" s="875" t="s">
        <v>950</v>
      </c>
      <c r="B4" s="876"/>
      <c r="C4" s="876"/>
      <c r="D4" s="876"/>
      <c r="E4" s="876"/>
      <c r="F4" s="876"/>
      <c r="G4" s="876"/>
      <c r="H4" s="876"/>
      <c r="I4" s="876"/>
      <c r="J4" s="876"/>
      <c r="K4" s="876"/>
      <c r="L4" s="876"/>
      <c r="M4" s="876"/>
      <c r="N4" s="876"/>
      <c r="O4" s="876"/>
      <c r="P4" s="876"/>
      <c r="Q4" s="876"/>
      <c r="R4" s="877"/>
    </row>
    <row r="5" spans="1:18" ht="15.75">
      <c r="A5" s="875" t="s">
        <v>241</v>
      </c>
      <c r="B5" s="876"/>
      <c r="C5" s="876"/>
      <c r="D5" s="876"/>
      <c r="E5" s="876"/>
      <c r="F5" s="876"/>
      <c r="G5" s="876"/>
      <c r="H5" s="876"/>
      <c r="I5" s="876"/>
      <c r="J5" s="876"/>
      <c r="K5" s="876"/>
      <c r="L5" s="876"/>
      <c r="M5" s="876"/>
      <c r="N5" s="876"/>
      <c r="O5" s="876"/>
      <c r="P5" s="876"/>
      <c r="Q5" s="876"/>
      <c r="R5" s="877"/>
    </row>
    <row r="6" spans="1:18" ht="15.75">
      <c r="A6" s="875" t="s">
        <v>389</v>
      </c>
      <c r="B6" s="876"/>
      <c r="C6" s="876"/>
      <c r="D6" s="876"/>
      <c r="E6" s="876"/>
      <c r="F6" s="876"/>
      <c r="G6" s="876"/>
      <c r="H6" s="876"/>
      <c r="I6" s="876"/>
      <c r="J6" s="876"/>
      <c r="K6" s="876"/>
      <c r="L6" s="876"/>
      <c r="M6" s="876"/>
      <c r="N6" s="876"/>
      <c r="O6" s="876"/>
      <c r="P6" s="876"/>
      <c r="Q6" s="876"/>
      <c r="R6" s="877"/>
    </row>
    <row r="7" spans="1:18" ht="15.75">
      <c r="A7" s="875" t="s">
        <v>293</v>
      </c>
      <c r="B7" s="876"/>
      <c r="C7" s="876"/>
      <c r="D7" s="876"/>
      <c r="E7" s="876"/>
      <c r="F7" s="876"/>
      <c r="G7" s="876"/>
      <c r="H7" s="876"/>
      <c r="I7" s="876"/>
      <c r="J7" s="876"/>
      <c r="K7" s="876"/>
      <c r="L7" s="876"/>
      <c r="M7" s="876"/>
      <c r="N7" s="876"/>
      <c r="O7" s="876"/>
      <c r="P7" s="876"/>
      <c r="Q7" s="876"/>
      <c r="R7" s="877"/>
    </row>
    <row r="8" spans="1:18" ht="16.5" customHeight="1" thickBot="1">
      <c r="A8" s="578"/>
      <c r="B8" s="579"/>
      <c r="C8" s="579"/>
      <c r="D8" s="579"/>
      <c r="E8" s="579"/>
      <c r="F8" s="579"/>
      <c r="G8" s="579"/>
      <c r="H8" s="579"/>
      <c r="I8" s="579"/>
      <c r="J8" s="579"/>
      <c r="K8" s="579"/>
      <c r="L8" s="579"/>
      <c r="M8" s="579"/>
      <c r="N8" s="579"/>
      <c r="O8" s="579"/>
      <c r="P8" s="579"/>
      <c r="Q8" s="579"/>
      <c r="R8" s="580"/>
    </row>
    <row r="9" spans="1:18" ht="16.5" customHeight="1">
      <c r="A9" s="243"/>
      <c r="B9" s="244"/>
      <c r="C9" s="244"/>
      <c r="D9" s="244"/>
      <c r="E9" s="244"/>
      <c r="F9" s="244"/>
      <c r="G9" s="244"/>
      <c r="H9" s="244"/>
      <c r="I9" s="244"/>
      <c r="J9" s="244"/>
      <c r="K9" s="244"/>
      <c r="L9" s="245"/>
      <c r="M9" s="245"/>
      <c r="N9" s="245"/>
      <c r="O9" s="245"/>
      <c r="P9" s="245"/>
      <c r="Q9" s="245"/>
      <c r="R9" s="246"/>
    </row>
    <row r="10" spans="1:18" ht="20.100000000000001" customHeight="1">
      <c r="A10" s="247" t="s">
        <v>199</v>
      </c>
      <c r="B10" s="248" t="s">
        <v>200</v>
      </c>
      <c r="C10" s="248"/>
      <c r="D10" s="248"/>
      <c r="E10" s="248"/>
      <c r="F10" s="248"/>
      <c r="G10" s="248"/>
      <c r="H10" s="248"/>
      <c r="I10" s="248"/>
      <c r="J10" s="248"/>
      <c r="K10" s="248"/>
      <c r="L10" s="249"/>
      <c r="M10" s="249"/>
      <c r="N10" s="249"/>
      <c r="O10" s="249"/>
      <c r="P10" s="249"/>
      <c r="Q10" s="249"/>
      <c r="R10" s="250"/>
    </row>
    <row r="11" spans="1:18" ht="20.100000000000001" customHeight="1">
      <c r="A11" s="243"/>
      <c r="B11" s="244" t="s">
        <v>201</v>
      </c>
      <c r="C11" s="244"/>
      <c r="D11" s="244"/>
      <c r="E11" s="244"/>
      <c r="F11" s="244"/>
      <c r="G11" s="244"/>
      <c r="H11" s="244"/>
      <c r="I11" s="244"/>
      <c r="J11" s="244"/>
      <c r="K11" s="244"/>
      <c r="L11" s="245"/>
      <c r="M11" s="245"/>
      <c r="N11" s="245"/>
      <c r="O11" s="245"/>
      <c r="P11" s="245"/>
      <c r="Q11" s="245"/>
      <c r="R11" s="246"/>
    </row>
    <row r="12" spans="1:18" ht="20.100000000000001" customHeight="1">
      <c r="A12" s="243"/>
      <c r="B12" s="244"/>
      <c r="C12" s="871"/>
      <c r="D12" s="871"/>
      <c r="E12" s="871"/>
      <c r="F12" s="871"/>
      <c r="G12" s="871"/>
      <c r="H12" s="871"/>
      <c r="I12" s="871"/>
      <c r="J12" s="871"/>
      <c r="K12" s="871"/>
      <c r="L12" s="871"/>
      <c r="M12" s="871"/>
      <c r="N12" s="871"/>
      <c r="O12" s="871"/>
      <c r="P12" s="871"/>
      <c r="Q12" s="871"/>
      <c r="R12" s="872"/>
    </row>
    <row r="13" spans="1:18" ht="20.100000000000001" customHeight="1" thickBot="1">
      <c r="A13" s="243"/>
      <c r="B13" s="244"/>
      <c r="C13" s="841" t="s">
        <v>273</v>
      </c>
      <c r="D13" s="841"/>
      <c r="E13" s="841"/>
      <c r="F13" s="841"/>
      <c r="G13" s="841"/>
      <c r="H13" s="841"/>
      <c r="I13" s="841"/>
      <c r="J13" s="841"/>
      <c r="K13" s="841"/>
      <c r="L13" s="841"/>
      <c r="M13" s="841"/>
      <c r="N13" s="841"/>
      <c r="O13" s="841"/>
      <c r="P13" s="841"/>
      <c r="Q13" s="841"/>
      <c r="R13" s="842"/>
    </row>
    <row r="14" spans="1:18" ht="20.100000000000001" customHeight="1">
      <c r="A14" s="243"/>
      <c r="B14" s="244"/>
      <c r="C14" s="236" t="s">
        <v>920</v>
      </c>
      <c r="D14" s="237" t="s">
        <v>282</v>
      </c>
      <c r="E14" s="853" t="s">
        <v>297</v>
      </c>
      <c r="F14" s="853"/>
      <c r="G14" s="853"/>
      <c r="H14" s="853"/>
      <c r="I14" s="853"/>
      <c r="J14" s="853"/>
      <c r="K14" s="853"/>
      <c r="L14" s="853"/>
      <c r="M14" s="853"/>
      <c r="N14" s="853"/>
      <c r="O14" s="853"/>
      <c r="P14" s="853"/>
      <c r="Q14" s="853"/>
      <c r="R14" s="854"/>
    </row>
    <row r="15" spans="1:18" ht="20.100000000000001" customHeight="1">
      <c r="A15" s="243"/>
      <c r="B15" s="244"/>
      <c r="C15" s="546"/>
      <c r="D15" s="251"/>
      <c r="E15" s="747" t="s">
        <v>919</v>
      </c>
      <c r="F15" s="746"/>
      <c r="G15" s="746"/>
      <c r="H15" s="746"/>
      <c r="I15" s="746"/>
      <c r="J15" s="746"/>
      <c r="K15" s="746"/>
      <c r="L15" s="746"/>
      <c r="M15" s="746"/>
      <c r="N15" s="746"/>
      <c r="O15" s="746"/>
      <c r="P15" s="746"/>
      <c r="Q15" s="746"/>
      <c r="R15" s="744"/>
    </row>
    <row r="16" spans="1:18" ht="20.100000000000001" customHeight="1">
      <c r="A16" s="243"/>
      <c r="B16" s="244"/>
      <c r="C16" s="546"/>
      <c r="D16" s="251"/>
      <c r="E16" s="878" t="s">
        <v>921</v>
      </c>
      <c r="F16" s="878"/>
      <c r="G16" s="878"/>
      <c r="H16" s="878"/>
      <c r="I16" s="878"/>
      <c r="J16" s="878"/>
      <c r="K16" s="878"/>
      <c r="L16" s="878"/>
      <c r="M16" s="878"/>
      <c r="N16" s="878"/>
      <c r="O16" s="878"/>
      <c r="P16" s="878"/>
      <c r="Q16" s="878"/>
      <c r="R16" s="879"/>
    </row>
    <row r="17" spans="1:18" ht="20.100000000000001" customHeight="1" thickBot="1">
      <c r="A17" s="243"/>
      <c r="B17" s="244"/>
      <c r="C17" s="234"/>
      <c r="D17" s="235"/>
      <c r="E17" s="880"/>
      <c r="F17" s="880"/>
      <c r="G17" s="880"/>
      <c r="H17" s="880"/>
      <c r="I17" s="880"/>
      <c r="J17" s="880"/>
      <c r="K17" s="880"/>
      <c r="L17" s="880"/>
      <c r="M17" s="880"/>
      <c r="N17" s="880"/>
      <c r="O17" s="880"/>
      <c r="P17" s="880"/>
      <c r="Q17" s="880"/>
      <c r="R17" s="881"/>
    </row>
    <row r="18" spans="1:18" ht="20.100000000000001" customHeight="1" thickBot="1">
      <c r="A18" s="243"/>
      <c r="B18" s="244"/>
      <c r="C18" s="241" t="s">
        <v>948</v>
      </c>
      <c r="D18" s="242" t="s">
        <v>282</v>
      </c>
      <c r="E18" s="838" t="s">
        <v>949</v>
      </c>
      <c r="F18" s="839"/>
      <c r="G18" s="839"/>
      <c r="H18" s="839"/>
      <c r="I18" s="839"/>
      <c r="J18" s="839"/>
      <c r="K18" s="839"/>
      <c r="L18" s="839"/>
      <c r="M18" s="839"/>
      <c r="N18" s="839"/>
      <c r="O18" s="839"/>
      <c r="P18" s="839"/>
      <c r="Q18" s="839"/>
      <c r="R18" s="840"/>
    </row>
    <row r="19" spans="1:18" ht="20.100000000000001" customHeight="1">
      <c r="A19" s="243"/>
      <c r="B19" s="244"/>
      <c r="C19" s="873" t="s">
        <v>381</v>
      </c>
      <c r="D19" s="232" t="s">
        <v>282</v>
      </c>
      <c r="E19" s="861" t="s">
        <v>421</v>
      </c>
      <c r="F19" s="861"/>
      <c r="G19" s="861"/>
      <c r="H19" s="861"/>
      <c r="I19" s="861"/>
      <c r="J19" s="861"/>
      <c r="K19" s="861"/>
      <c r="L19" s="861"/>
      <c r="M19" s="861"/>
      <c r="N19" s="861"/>
      <c r="O19" s="861"/>
      <c r="P19" s="861"/>
      <c r="Q19" s="861"/>
      <c r="R19" s="862"/>
    </row>
    <row r="20" spans="1:18" ht="20.100000000000001" customHeight="1">
      <c r="A20" s="243"/>
      <c r="B20" s="244"/>
      <c r="C20" s="874"/>
      <c r="D20" s="233"/>
      <c r="E20" s="843" t="s">
        <v>422</v>
      </c>
      <c r="F20" s="843"/>
      <c r="G20" s="843"/>
      <c r="H20" s="843"/>
      <c r="I20" s="843"/>
      <c r="J20" s="843"/>
      <c r="K20" s="843"/>
      <c r="L20" s="843"/>
      <c r="M20" s="843"/>
      <c r="N20" s="843"/>
      <c r="O20" s="843"/>
      <c r="P20" s="843"/>
      <c r="Q20" s="843"/>
      <c r="R20" s="844"/>
    </row>
    <row r="21" spans="1:18" ht="20.100000000000001" customHeight="1">
      <c r="A21" s="243"/>
      <c r="B21" s="244"/>
      <c r="C21" s="874"/>
      <c r="D21" s="233" t="s">
        <v>282</v>
      </c>
      <c r="E21" s="861" t="s">
        <v>879</v>
      </c>
      <c r="F21" s="861"/>
      <c r="G21" s="861"/>
      <c r="H21" s="861"/>
      <c r="I21" s="861"/>
      <c r="J21" s="861"/>
      <c r="K21" s="861"/>
      <c r="L21" s="861"/>
      <c r="M21" s="861"/>
      <c r="N21" s="861"/>
      <c r="O21" s="861"/>
      <c r="P21" s="861"/>
      <c r="Q21" s="861"/>
      <c r="R21" s="862"/>
    </row>
    <row r="22" spans="1:18" ht="20.100000000000001" customHeight="1">
      <c r="A22" s="243"/>
      <c r="B22" s="244"/>
      <c r="C22" s="874"/>
      <c r="D22" s="233" t="s">
        <v>282</v>
      </c>
      <c r="E22" s="861" t="s">
        <v>423</v>
      </c>
      <c r="F22" s="861"/>
      <c r="G22" s="861"/>
      <c r="H22" s="861"/>
      <c r="I22" s="861"/>
      <c r="J22" s="861"/>
      <c r="K22" s="861"/>
      <c r="L22" s="861"/>
      <c r="M22" s="861"/>
      <c r="N22" s="861"/>
      <c r="O22" s="861"/>
      <c r="P22" s="861"/>
      <c r="Q22" s="861"/>
      <c r="R22" s="862"/>
    </row>
    <row r="23" spans="1:18" ht="20.100000000000001" customHeight="1">
      <c r="A23" s="243"/>
      <c r="B23" s="244"/>
      <c r="C23" s="874"/>
      <c r="D23" s="233"/>
      <c r="E23" s="843" t="s">
        <v>424</v>
      </c>
      <c r="F23" s="843"/>
      <c r="G23" s="843"/>
      <c r="H23" s="843"/>
      <c r="I23" s="843"/>
      <c r="J23" s="843"/>
      <c r="K23" s="843"/>
      <c r="L23" s="843"/>
      <c r="M23" s="843"/>
      <c r="N23" s="843"/>
      <c r="O23" s="843"/>
      <c r="P23" s="843"/>
      <c r="Q23" s="843"/>
      <c r="R23" s="844"/>
    </row>
    <row r="24" spans="1:18" ht="20.100000000000001" customHeight="1" thickBot="1">
      <c r="A24" s="243"/>
      <c r="B24" s="244"/>
      <c r="C24" s="874"/>
      <c r="D24" s="233"/>
      <c r="E24" s="843" t="s">
        <v>880</v>
      </c>
      <c r="F24" s="843"/>
      <c r="G24" s="843"/>
      <c r="H24" s="843"/>
      <c r="I24" s="843"/>
      <c r="J24" s="843"/>
      <c r="K24" s="843"/>
      <c r="L24" s="843"/>
      <c r="M24" s="843"/>
      <c r="N24" s="843"/>
      <c r="O24" s="843"/>
      <c r="P24" s="843"/>
      <c r="Q24" s="843"/>
      <c r="R24" s="844"/>
    </row>
    <row r="25" spans="1:18" ht="20.100000000000001" customHeight="1">
      <c r="A25" s="243"/>
      <c r="B25" s="244"/>
      <c r="C25" s="873" t="s">
        <v>298</v>
      </c>
      <c r="D25" s="238" t="s">
        <v>282</v>
      </c>
      <c r="E25" s="853" t="s">
        <v>279</v>
      </c>
      <c r="F25" s="853"/>
      <c r="G25" s="853"/>
      <c r="H25" s="853"/>
      <c r="I25" s="853"/>
      <c r="J25" s="853"/>
      <c r="K25" s="853"/>
      <c r="L25" s="853"/>
      <c r="M25" s="853"/>
      <c r="N25" s="853"/>
      <c r="O25" s="853"/>
      <c r="P25" s="853"/>
      <c r="Q25" s="853"/>
      <c r="R25" s="854"/>
    </row>
    <row r="26" spans="1:18" ht="20.100000000000001" customHeight="1">
      <c r="A26" s="243"/>
      <c r="B26" s="244"/>
      <c r="C26" s="874"/>
      <c r="D26" s="239"/>
      <c r="E26" s="869" t="s">
        <v>280</v>
      </c>
      <c r="F26" s="869"/>
      <c r="G26" s="869"/>
      <c r="H26" s="869"/>
      <c r="I26" s="869"/>
      <c r="J26" s="869"/>
      <c r="K26" s="869"/>
      <c r="L26" s="869"/>
      <c r="M26" s="869"/>
      <c r="N26" s="869"/>
      <c r="O26" s="869"/>
      <c r="P26" s="869"/>
      <c r="Q26" s="869"/>
      <c r="R26" s="870"/>
    </row>
    <row r="27" spans="1:18" ht="20.100000000000001" customHeight="1">
      <c r="A27" s="243"/>
      <c r="B27" s="244"/>
      <c r="C27" s="874"/>
      <c r="D27" s="239"/>
      <c r="E27" s="869" t="s">
        <v>281</v>
      </c>
      <c r="F27" s="869"/>
      <c r="G27" s="869"/>
      <c r="H27" s="869"/>
      <c r="I27" s="869"/>
      <c r="J27" s="869"/>
      <c r="K27" s="869"/>
      <c r="L27" s="869"/>
      <c r="M27" s="869"/>
      <c r="N27" s="869"/>
      <c r="O27" s="869"/>
      <c r="P27" s="869"/>
      <c r="Q27" s="869"/>
      <c r="R27" s="870"/>
    </row>
    <row r="28" spans="1:18" ht="20.100000000000001" customHeight="1" thickBot="1">
      <c r="A28" s="243"/>
      <c r="B28" s="244"/>
      <c r="C28" s="894"/>
      <c r="D28" s="240"/>
      <c r="E28" s="855" t="s">
        <v>272</v>
      </c>
      <c r="F28" s="855"/>
      <c r="G28" s="855"/>
      <c r="H28" s="855"/>
      <c r="I28" s="855"/>
      <c r="J28" s="855"/>
      <c r="K28" s="855"/>
      <c r="L28" s="855"/>
      <c r="M28" s="855"/>
      <c r="N28" s="855"/>
      <c r="O28" s="855"/>
      <c r="P28" s="855"/>
      <c r="Q28" s="855"/>
      <c r="R28" s="856"/>
    </row>
    <row r="29" spans="1:18" ht="20.100000000000001" customHeight="1">
      <c r="A29" s="243"/>
      <c r="B29" s="244"/>
      <c r="C29" s="236" t="s">
        <v>172</v>
      </c>
      <c r="D29" s="237" t="s">
        <v>282</v>
      </c>
      <c r="E29" s="853" t="s">
        <v>236</v>
      </c>
      <c r="F29" s="853"/>
      <c r="G29" s="853"/>
      <c r="H29" s="853"/>
      <c r="I29" s="853"/>
      <c r="J29" s="853"/>
      <c r="K29" s="853"/>
      <c r="L29" s="853"/>
      <c r="M29" s="853"/>
      <c r="N29" s="853"/>
      <c r="O29" s="853"/>
      <c r="P29" s="853"/>
      <c r="Q29" s="853"/>
      <c r="R29" s="854"/>
    </row>
    <row r="30" spans="1:18" ht="20.100000000000001" customHeight="1" thickBot="1">
      <c r="A30" s="243"/>
      <c r="B30" s="244"/>
      <c r="C30" s="234"/>
      <c r="D30" s="235"/>
      <c r="E30" s="855" t="s">
        <v>878</v>
      </c>
      <c r="F30" s="855"/>
      <c r="G30" s="855"/>
      <c r="H30" s="855"/>
      <c r="I30" s="855"/>
      <c r="J30" s="855"/>
      <c r="K30" s="855"/>
      <c r="L30" s="855"/>
      <c r="M30" s="855"/>
      <c r="N30" s="855"/>
      <c r="O30" s="855"/>
      <c r="P30" s="855"/>
      <c r="Q30" s="855"/>
      <c r="R30" s="856"/>
    </row>
    <row r="31" spans="1:18" ht="20.100000000000001" customHeight="1">
      <c r="A31" s="243"/>
      <c r="B31" s="244"/>
      <c r="C31" s="236" t="s">
        <v>403</v>
      </c>
      <c r="D31" s="237" t="s">
        <v>282</v>
      </c>
      <c r="E31" s="857" t="s">
        <v>453</v>
      </c>
      <c r="F31" s="857"/>
      <c r="G31" s="857"/>
      <c r="H31" s="857"/>
      <c r="I31" s="857"/>
      <c r="J31" s="857"/>
      <c r="K31" s="857"/>
      <c r="L31" s="857"/>
      <c r="M31" s="857"/>
      <c r="N31" s="857"/>
      <c r="O31" s="857"/>
      <c r="P31" s="857"/>
      <c r="Q31" s="857"/>
      <c r="R31" s="858"/>
    </row>
    <row r="32" spans="1:18" ht="12.6" customHeight="1">
      <c r="A32" s="243"/>
      <c r="B32" s="244"/>
      <c r="C32" s="546"/>
      <c r="D32" s="251"/>
      <c r="E32" s="859"/>
      <c r="F32" s="859"/>
      <c r="G32" s="859"/>
      <c r="H32" s="859"/>
      <c r="I32" s="859"/>
      <c r="J32" s="859"/>
      <c r="K32" s="859"/>
      <c r="L32" s="859"/>
      <c r="M32" s="859"/>
      <c r="N32" s="859"/>
      <c r="O32" s="859"/>
      <c r="P32" s="859"/>
      <c r="Q32" s="859"/>
      <c r="R32" s="860"/>
    </row>
    <row r="33" spans="1:18" ht="20.100000000000001" customHeight="1" thickBot="1">
      <c r="A33" s="243"/>
      <c r="B33" s="244"/>
      <c r="C33" s="234"/>
      <c r="D33" s="235"/>
      <c r="E33" s="847" t="s">
        <v>406</v>
      </c>
      <c r="F33" s="847"/>
      <c r="G33" s="847"/>
      <c r="H33" s="847"/>
      <c r="I33" s="847"/>
      <c r="J33" s="847"/>
      <c r="K33" s="847"/>
      <c r="L33" s="847"/>
      <c r="M33" s="847"/>
      <c r="N33" s="847"/>
      <c r="O33" s="847"/>
      <c r="P33" s="847"/>
      <c r="Q33" s="847"/>
      <c r="R33" s="848"/>
    </row>
    <row r="34" spans="1:18" ht="20.100000000000001" customHeight="1" thickBot="1">
      <c r="A34" s="243"/>
      <c r="B34" s="244"/>
      <c r="C34" s="241" t="s">
        <v>495</v>
      </c>
      <c r="D34" s="242" t="s">
        <v>282</v>
      </c>
      <c r="E34" s="849" t="s">
        <v>496</v>
      </c>
      <c r="F34" s="849"/>
      <c r="G34" s="849"/>
      <c r="H34" s="849"/>
      <c r="I34" s="849"/>
      <c r="J34" s="849"/>
      <c r="K34" s="849"/>
      <c r="L34" s="849"/>
      <c r="M34" s="849"/>
      <c r="N34" s="849"/>
      <c r="O34" s="849"/>
      <c r="P34" s="849"/>
      <c r="Q34" s="849"/>
      <c r="R34" s="850"/>
    </row>
    <row r="35" spans="1:18" ht="20.100000000000001" hidden="1" customHeight="1">
      <c r="A35" s="243"/>
      <c r="B35" s="244"/>
      <c r="C35" s="251"/>
      <c r="D35" s="251"/>
      <c r="E35" s="861" t="s">
        <v>209</v>
      </c>
      <c r="F35" s="861"/>
      <c r="G35" s="861"/>
      <c r="H35" s="861"/>
      <c r="I35" s="861"/>
      <c r="J35" s="861"/>
      <c r="K35" s="861"/>
      <c r="L35" s="861"/>
      <c r="M35" s="861"/>
      <c r="N35" s="861"/>
      <c r="O35" s="861"/>
      <c r="P35" s="861"/>
      <c r="Q35" s="861"/>
      <c r="R35" s="862"/>
    </row>
    <row r="36" spans="1:18" ht="15.75">
      <c r="A36" s="252"/>
      <c r="B36" s="245"/>
      <c r="C36" s="236" t="s">
        <v>299</v>
      </c>
      <c r="D36" s="237" t="s">
        <v>282</v>
      </c>
      <c r="E36" s="845" t="s">
        <v>203</v>
      </c>
      <c r="F36" s="845"/>
      <c r="G36" s="845"/>
      <c r="H36" s="845"/>
      <c r="I36" s="845"/>
      <c r="J36" s="845"/>
      <c r="K36" s="845"/>
      <c r="L36" s="845"/>
      <c r="M36" s="845"/>
      <c r="N36" s="845"/>
      <c r="O36" s="845"/>
      <c r="P36" s="845"/>
      <c r="Q36" s="845"/>
      <c r="R36" s="846"/>
    </row>
    <row r="37" spans="1:18" ht="20.100000000000001" customHeight="1" thickBot="1">
      <c r="A37" s="252"/>
      <c r="B37" s="245"/>
      <c r="C37" s="234"/>
      <c r="D37" s="235"/>
      <c r="E37" s="855" t="s">
        <v>271</v>
      </c>
      <c r="F37" s="855"/>
      <c r="G37" s="855"/>
      <c r="H37" s="855"/>
      <c r="I37" s="855"/>
      <c r="J37" s="855"/>
      <c r="K37" s="855"/>
      <c r="L37" s="855"/>
      <c r="M37" s="855"/>
      <c r="N37" s="855"/>
      <c r="O37" s="855"/>
      <c r="P37" s="855"/>
      <c r="Q37" s="855"/>
      <c r="R37" s="856"/>
    </row>
    <row r="38" spans="1:18" ht="20.100000000000001" customHeight="1" thickBot="1">
      <c r="A38" s="243"/>
      <c r="B38" s="244"/>
      <c r="C38" s="241" t="s">
        <v>300</v>
      </c>
      <c r="D38" s="242" t="s">
        <v>282</v>
      </c>
      <c r="E38" s="849" t="s">
        <v>210</v>
      </c>
      <c r="F38" s="849"/>
      <c r="G38" s="849"/>
      <c r="H38" s="849"/>
      <c r="I38" s="849"/>
      <c r="J38" s="849"/>
      <c r="K38" s="849"/>
      <c r="L38" s="849"/>
      <c r="M38" s="849"/>
      <c r="N38" s="849"/>
      <c r="O38" s="849"/>
      <c r="P38" s="849"/>
      <c r="Q38" s="849"/>
      <c r="R38" s="850"/>
    </row>
    <row r="39" spans="1:18" ht="20.100000000000001" customHeight="1">
      <c r="A39" s="243"/>
      <c r="B39" s="244"/>
      <c r="C39" s="236" t="s">
        <v>407</v>
      </c>
      <c r="D39" s="237" t="s">
        <v>282</v>
      </c>
      <c r="E39" s="853" t="s">
        <v>328</v>
      </c>
      <c r="F39" s="853"/>
      <c r="G39" s="853"/>
      <c r="H39" s="853"/>
      <c r="I39" s="853"/>
      <c r="J39" s="853"/>
      <c r="K39" s="853"/>
      <c r="L39" s="853"/>
      <c r="M39" s="853"/>
      <c r="N39" s="853"/>
      <c r="O39" s="853"/>
      <c r="P39" s="853"/>
      <c r="Q39" s="853"/>
      <c r="R39" s="854"/>
    </row>
    <row r="40" spans="1:18" ht="20.100000000000001" customHeight="1" thickBot="1">
      <c r="A40" s="252"/>
      <c r="B40" s="245"/>
      <c r="C40" s="234"/>
      <c r="D40" s="235"/>
      <c r="E40" s="851" t="s">
        <v>327</v>
      </c>
      <c r="F40" s="851"/>
      <c r="G40" s="851"/>
      <c r="H40" s="851"/>
      <c r="I40" s="851"/>
      <c r="J40" s="851"/>
      <c r="K40" s="851"/>
      <c r="L40" s="851"/>
      <c r="M40" s="851"/>
      <c r="N40" s="851"/>
      <c r="O40" s="851"/>
      <c r="P40" s="851"/>
      <c r="Q40" s="851"/>
      <c r="R40" s="852"/>
    </row>
    <row r="41" spans="1:18" ht="20.100000000000001" customHeight="1" thickBot="1">
      <c r="A41" s="252"/>
      <c r="B41" s="245"/>
      <c r="C41" s="241" t="s">
        <v>334</v>
      </c>
      <c r="D41" s="242" t="s">
        <v>282</v>
      </c>
      <c r="E41" s="849" t="s">
        <v>333</v>
      </c>
      <c r="F41" s="849"/>
      <c r="G41" s="849"/>
      <c r="H41" s="849"/>
      <c r="I41" s="849"/>
      <c r="J41" s="849"/>
      <c r="K41" s="849"/>
      <c r="L41" s="849"/>
      <c r="M41" s="849"/>
      <c r="N41" s="849"/>
      <c r="O41" s="849"/>
      <c r="P41" s="849"/>
      <c r="Q41" s="849"/>
      <c r="R41" s="850"/>
    </row>
    <row r="42" spans="1:18" ht="20.100000000000001" customHeight="1">
      <c r="A42" s="252"/>
      <c r="B42" s="245"/>
      <c r="C42" s="236" t="s">
        <v>372</v>
      </c>
      <c r="D42" s="237" t="s">
        <v>282</v>
      </c>
      <c r="E42" s="845" t="s">
        <v>881</v>
      </c>
      <c r="F42" s="845"/>
      <c r="G42" s="845"/>
      <c r="H42" s="845"/>
      <c r="I42" s="845"/>
      <c r="J42" s="845"/>
      <c r="K42" s="845"/>
      <c r="L42" s="845"/>
      <c r="M42" s="845"/>
      <c r="N42" s="845"/>
      <c r="O42" s="845"/>
      <c r="P42" s="845"/>
      <c r="Q42" s="845"/>
      <c r="R42" s="846"/>
    </row>
    <row r="43" spans="1:18" ht="20.100000000000001" customHeight="1" thickBot="1">
      <c r="A43" s="243"/>
      <c r="B43" s="244"/>
      <c r="C43" s="343"/>
      <c r="D43" s="344"/>
      <c r="E43" s="847"/>
      <c r="F43" s="847"/>
      <c r="G43" s="847"/>
      <c r="H43" s="847"/>
      <c r="I43" s="847"/>
      <c r="J43" s="847"/>
      <c r="K43" s="847"/>
      <c r="L43" s="847"/>
      <c r="M43" s="847"/>
      <c r="N43" s="847"/>
      <c r="O43" s="847"/>
      <c r="P43" s="847"/>
      <c r="Q43" s="847"/>
      <c r="R43" s="848"/>
    </row>
    <row r="44" spans="1:18" ht="20.100000000000001" customHeight="1">
      <c r="A44" s="243"/>
      <c r="B44" s="244"/>
      <c r="C44" s="236" t="s">
        <v>498</v>
      </c>
      <c r="D44" s="237" t="s">
        <v>282</v>
      </c>
      <c r="E44" s="845" t="s">
        <v>497</v>
      </c>
      <c r="F44" s="845"/>
      <c r="G44" s="845"/>
      <c r="H44" s="845"/>
      <c r="I44" s="845"/>
      <c r="J44" s="845"/>
      <c r="K44" s="845"/>
      <c r="L44" s="845"/>
      <c r="M44" s="845"/>
      <c r="N44" s="845"/>
      <c r="O44" s="845"/>
      <c r="P44" s="845"/>
      <c r="Q44" s="845"/>
      <c r="R44" s="846"/>
    </row>
    <row r="45" spans="1:18" ht="20.100000000000001" customHeight="1" thickBot="1">
      <c r="A45" s="243"/>
      <c r="B45" s="244"/>
      <c r="C45" s="343"/>
      <c r="D45" s="344"/>
      <c r="E45" s="847"/>
      <c r="F45" s="847"/>
      <c r="G45" s="847"/>
      <c r="H45" s="847"/>
      <c r="I45" s="847"/>
      <c r="J45" s="847"/>
      <c r="K45" s="847"/>
      <c r="L45" s="847"/>
      <c r="M45" s="847"/>
      <c r="N45" s="847"/>
      <c r="O45" s="847"/>
      <c r="P45" s="847"/>
      <c r="Q45" s="847"/>
      <c r="R45" s="848"/>
    </row>
    <row r="46" spans="1:18" ht="20.100000000000001" customHeight="1">
      <c r="A46" s="243"/>
      <c r="B46" s="244"/>
      <c r="C46" s="882" t="s">
        <v>590</v>
      </c>
      <c r="D46" s="705"/>
      <c r="E46" s="884" t="s">
        <v>591</v>
      </c>
      <c r="F46" s="845"/>
      <c r="G46" s="845"/>
      <c r="H46" s="845"/>
      <c r="I46" s="845"/>
      <c r="J46" s="845"/>
      <c r="K46" s="845"/>
      <c r="L46" s="845"/>
      <c r="M46" s="845"/>
      <c r="N46" s="845"/>
      <c r="O46" s="845"/>
      <c r="P46" s="845"/>
      <c r="Q46" s="845"/>
      <c r="R46" s="846"/>
    </row>
    <row r="47" spans="1:18" ht="20.100000000000001" customHeight="1">
      <c r="A47" s="243"/>
      <c r="B47" s="244"/>
      <c r="C47" s="883"/>
      <c r="D47" s="706"/>
      <c r="E47" s="885" t="s">
        <v>882</v>
      </c>
      <c r="F47" s="886"/>
      <c r="G47" s="886"/>
      <c r="H47" s="886"/>
      <c r="I47" s="886"/>
      <c r="J47" s="886"/>
      <c r="K47" s="886"/>
      <c r="L47" s="886"/>
      <c r="M47" s="886"/>
      <c r="N47" s="886"/>
      <c r="O47" s="886"/>
      <c r="P47" s="886"/>
      <c r="Q47" s="886"/>
      <c r="R47" s="887"/>
    </row>
    <row r="48" spans="1:18" ht="20.100000000000001" customHeight="1" thickBot="1">
      <c r="A48" s="243"/>
      <c r="B48" s="244"/>
      <c r="C48" s="883"/>
      <c r="D48" s="706"/>
      <c r="E48" s="888"/>
      <c r="F48" s="889"/>
      <c r="G48" s="889"/>
      <c r="H48" s="889"/>
      <c r="I48" s="889"/>
      <c r="J48" s="889"/>
      <c r="K48" s="889"/>
      <c r="L48" s="889"/>
      <c r="M48" s="889"/>
      <c r="N48" s="889"/>
      <c r="O48" s="889"/>
      <c r="P48" s="889"/>
      <c r="Q48" s="889"/>
      <c r="R48" s="890"/>
    </row>
    <row r="49" spans="1:18" ht="20.100000000000001" customHeight="1">
      <c r="A49" s="243"/>
      <c r="B49" s="244"/>
      <c r="C49" s="883"/>
      <c r="D49" s="706"/>
      <c r="E49" s="891" t="s">
        <v>592</v>
      </c>
      <c r="F49" s="892"/>
      <c r="G49" s="892"/>
      <c r="H49" s="892"/>
      <c r="I49" s="892"/>
      <c r="J49" s="892"/>
      <c r="K49" s="892"/>
      <c r="L49" s="892"/>
      <c r="M49" s="892"/>
      <c r="N49" s="892"/>
      <c r="O49" s="892"/>
      <c r="P49" s="892"/>
      <c r="Q49" s="892"/>
      <c r="R49" s="893"/>
    </row>
    <row r="50" spans="1:18" ht="15.6" customHeight="1">
      <c r="A50" s="243"/>
      <c r="B50" s="244"/>
      <c r="C50" s="883"/>
      <c r="D50" s="706"/>
      <c r="E50" s="885" t="s">
        <v>593</v>
      </c>
      <c r="F50" s="886"/>
      <c r="G50" s="886"/>
      <c r="H50" s="886"/>
      <c r="I50" s="886"/>
      <c r="J50" s="886"/>
      <c r="K50" s="886"/>
      <c r="L50" s="886"/>
      <c r="M50" s="886"/>
      <c r="N50" s="886"/>
      <c r="O50" s="886"/>
      <c r="P50" s="886"/>
      <c r="Q50" s="886"/>
      <c r="R50" s="887"/>
    </row>
    <row r="51" spans="1:18" ht="16.350000000000001" customHeight="1" thickBot="1">
      <c r="A51" s="243"/>
      <c r="B51" s="244"/>
      <c r="C51" s="708"/>
      <c r="D51" s="707"/>
      <c r="E51" s="888"/>
      <c r="F51" s="889"/>
      <c r="G51" s="889"/>
      <c r="H51" s="889"/>
      <c r="I51" s="889"/>
      <c r="J51" s="889"/>
      <c r="K51" s="889"/>
      <c r="L51" s="889"/>
      <c r="M51" s="889"/>
      <c r="N51" s="889"/>
      <c r="O51" s="889"/>
      <c r="P51" s="889"/>
      <c r="Q51" s="889"/>
      <c r="R51" s="890"/>
    </row>
    <row r="52" spans="1:18" ht="15.75">
      <c r="A52" s="243"/>
      <c r="B52" s="244"/>
      <c r="C52" s="253"/>
      <c r="D52" s="253"/>
      <c r="E52" s="341"/>
      <c r="F52" s="341"/>
      <c r="G52" s="341"/>
      <c r="H52" s="341"/>
      <c r="I52" s="341"/>
      <c r="J52" s="341"/>
      <c r="K52" s="341"/>
      <c r="L52" s="341"/>
      <c r="M52" s="341"/>
      <c r="N52" s="341"/>
      <c r="O52" s="341"/>
      <c r="P52" s="341"/>
      <c r="Q52" s="341"/>
      <c r="R52" s="342"/>
    </row>
    <row r="53" spans="1:18" ht="15.75">
      <c r="A53" s="247" t="s">
        <v>202</v>
      </c>
      <c r="B53" s="248" t="s">
        <v>240</v>
      </c>
      <c r="C53" s="244"/>
      <c r="D53" s="244"/>
      <c r="E53" s="244"/>
      <c r="F53" s="244"/>
      <c r="G53" s="244"/>
      <c r="H53" s="244"/>
      <c r="I53" s="244"/>
      <c r="J53" s="244"/>
      <c r="K53" s="244"/>
      <c r="L53" s="245"/>
      <c r="M53" s="245"/>
      <c r="N53" s="245"/>
      <c r="O53" s="245"/>
      <c r="P53" s="245"/>
      <c r="Q53" s="245"/>
      <c r="R53" s="246"/>
    </row>
    <row r="54" spans="1:18" ht="15.75">
      <c r="A54" s="243"/>
      <c r="B54" s="244"/>
      <c r="C54" s="244"/>
      <c r="D54" s="244"/>
      <c r="E54" s="244"/>
      <c r="F54" s="244"/>
      <c r="G54" s="244"/>
      <c r="H54" s="244"/>
      <c r="I54" s="244"/>
      <c r="J54" s="244"/>
      <c r="K54" s="244"/>
      <c r="L54" s="245"/>
      <c r="M54" s="245"/>
      <c r="N54" s="245"/>
      <c r="O54" s="245"/>
      <c r="P54" s="245"/>
      <c r="Q54" s="245"/>
      <c r="R54" s="246"/>
    </row>
    <row r="55" spans="1:18" ht="15.75" thickBot="1">
      <c r="A55" s="254"/>
      <c r="B55" s="255"/>
      <c r="C55" s="255"/>
      <c r="D55" s="255"/>
      <c r="E55" s="255"/>
      <c r="F55" s="255"/>
      <c r="G55" s="255"/>
      <c r="H55" s="255"/>
      <c r="I55" s="255"/>
      <c r="J55" s="255"/>
      <c r="K55" s="255"/>
      <c r="L55" s="255"/>
      <c r="M55" s="255"/>
      <c r="N55" s="255"/>
      <c r="O55" s="255"/>
      <c r="P55" s="255"/>
      <c r="Q55" s="255"/>
      <c r="R55" s="256"/>
    </row>
  </sheetData>
  <sheetProtection algorithmName="SHA-512" hashValue="EgExEABCxvrHYEpFqOezAC5I4w2547zCd1ufeBdL+FAb1xF5zCju28CjK+rar5E6IEm8WDyHRl1Jt4dQEiSorQ==" saltValue="wdCKF4818Td3lUO3aTztmA==" spinCount="100000" sheet="1" objects="1" scenarios="1"/>
  <mergeCells count="40">
    <mergeCell ref="E35:R35"/>
    <mergeCell ref="E24:R24"/>
    <mergeCell ref="C46:C50"/>
    <mergeCell ref="E46:R46"/>
    <mergeCell ref="E47:R48"/>
    <mergeCell ref="E49:R49"/>
    <mergeCell ref="E50:R51"/>
    <mergeCell ref="C25:C28"/>
    <mergeCell ref="A1:R3"/>
    <mergeCell ref="E29:R29"/>
    <mergeCell ref="E26:R26"/>
    <mergeCell ref="E27:R27"/>
    <mergeCell ref="C12:R12"/>
    <mergeCell ref="E25:R25"/>
    <mergeCell ref="E14:R14"/>
    <mergeCell ref="E19:R19"/>
    <mergeCell ref="C19:C24"/>
    <mergeCell ref="A7:R7"/>
    <mergeCell ref="A6:R6"/>
    <mergeCell ref="A4:R4"/>
    <mergeCell ref="A5:R5"/>
    <mergeCell ref="E21:R21"/>
    <mergeCell ref="E16:R17"/>
    <mergeCell ref="E28:R28"/>
    <mergeCell ref="C13:R13"/>
    <mergeCell ref="E20:R20"/>
    <mergeCell ref="E44:R45"/>
    <mergeCell ref="E42:R43"/>
    <mergeCell ref="E41:R41"/>
    <mergeCell ref="E40:R40"/>
    <mergeCell ref="E39:R39"/>
    <mergeCell ref="E38:R38"/>
    <mergeCell ref="E34:R34"/>
    <mergeCell ref="E37:R37"/>
    <mergeCell ref="E33:R33"/>
    <mergeCell ref="E31:R32"/>
    <mergeCell ref="E30:R30"/>
    <mergeCell ref="E22:R22"/>
    <mergeCell ref="E23:R23"/>
    <mergeCell ref="E36:R36"/>
  </mergeCells>
  <pageMargins left="0.7" right="0.7" top="0.75" bottom="0.75" header="0.3" footer="0.3"/>
  <pageSetup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98132-50FD-40A7-B405-0AFAB0190FF4}">
  <sheetPr codeName="Sheet12">
    <pageSetUpPr fitToPage="1"/>
  </sheetPr>
  <dimension ref="A1:AK217"/>
  <sheetViews>
    <sheetView zoomScale="80" zoomScaleNormal="80" workbookViewId="0">
      <selection activeCell="B57" sqref="B57"/>
    </sheetView>
  </sheetViews>
  <sheetFormatPr defaultColWidth="8.85546875" defaultRowHeight="18.75"/>
  <cols>
    <col min="1" max="1" width="27.85546875" style="154" customWidth="1"/>
    <col min="2" max="2" width="12.85546875" style="154" bestFit="1" customWidth="1"/>
    <col min="3" max="3" width="13.42578125" style="154" customWidth="1"/>
    <col min="4" max="4" width="12.85546875" style="154" bestFit="1" customWidth="1"/>
    <col min="5" max="5" width="8.85546875" style="154"/>
    <col min="6" max="6" width="12.85546875" style="154" bestFit="1" customWidth="1"/>
    <col min="7" max="7" width="13.28515625" style="154" customWidth="1"/>
    <col min="8" max="8" width="12.85546875" style="154" bestFit="1" customWidth="1"/>
    <col min="9" max="9" width="8.85546875" style="154"/>
    <col min="10" max="10" width="12.85546875" style="154" bestFit="1" customWidth="1"/>
    <col min="11" max="11" width="13.42578125" style="154" customWidth="1"/>
    <col min="12" max="12" width="12.85546875" style="154" bestFit="1" customWidth="1"/>
    <col min="13" max="15" width="8.85546875" style="154"/>
    <col min="16" max="16" width="15" style="154" bestFit="1" customWidth="1"/>
    <col min="17" max="17" width="12.85546875" style="154" bestFit="1" customWidth="1"/>
    <col min="18" max="18" width="12.7109375" style="154" bestFit="1" customWidth="1"/>
    <col min="19" max="19" width="9.42578125" style="154" customWidth="1"/>
    <col min="20" max="20" width="14.140625" style="154" customWidth="1"/>
    <col min="21" max="21" width="6" style="154" bestFit="1" customWidth="1"/>
    <col min="22" max="16384" width="8.85546875" style="154"/>
  </cols>
  <sheetData>
    <row r="1" spans="1:37" ht="19.5" thickBot="1">
      <c r="A1" s="962"/>
      <c r="B1" s="978" t="s">
        <v>403</v>
      </c>
      <c r="C1" s="979"/>
      <c r="D1" s="979"/>
      <c r="E1" s="980"/>
      <c r="F1" s="979"/>
      <c r="G1" s="979"/>
      <c r="H1" s="979"/>
      <c r="I1" s="980"/>
      <c r="J1" s="979"/>
      <c r="K1" s="979"/>
      <c r="L1" s="981"/>
      <c r="M1" s="611"/>
      <c r="N1" s="611"/>
      <c r="O1" s="611"/>
      <c r="P1" s="661" t="s">
        <v>283</v>
      </c>
      <c r="Q1" s="611"/>
      <c r="R1" s="611"/>
      <c r="S1" s="611"/>
      <c r="T1" s="611"/>
      <c r="U1" s="611"/>
      <c r="V1" s="611"/>
      <c r="W1" s="611"/>
      <c r="X1" s="244"/>
      <c r="Y1" s="611"/>
      <c r="Z1" s="611"/>
      <c r="AA1" s="611"/>
      <c r="AB1" s="611"/>
      <c r="AC1" s="611"/>
      <c r="AD1" s="611"/>
      <c r="AE1" s="611"/>
      <c r="AF1" s="611"/>
      <c r="AG1" s="611"/>
      <c r="AH1" s="611"/>
      <c r="AI1" s="611"/>
      <c r="AJ1" s="611"/>
      <c r="AK1" s="611"/>
    </row>
    <row r="2" spans="1:37">
      <c r="A2" s="962"/>
      <c r="B2" s="982" t="str">
        <f>'Crop Budget (Main)'!C5</f>
        <v>Select Crop</v>
      </c>
      <c r="C2" s="983"/>
      <c r="D2" s="984"/>
      <c r="E2" s="611"/>
      <c r="F2" s="982" t="str">
        <f>'Crop Budget (Main)'!G5</f>
        <v>Select Crop</v>
      </c>
      <c r="G2" s="983"/>
      <c r="H2" s="984"/>
      <c r="I2" s="611"/>
      <c r="J2" s="982" t="str">
        <f>'Crop Budget (Main)'!K5</f>
        <v>Select Crop</v>
      </c>
      <c r="K2" s="983"/>
      <c r="L2" s="984"/>
      <c r="M2" s="611"/>
      <c r="N2" s="611"/>
      <c r="O2" s="611"/>
      <c r="P2" s="611" t="s">
        <v>284</v>
      </c>
      <c r="Q2" s="611"/>
      <c r="R2" s="611"/>
      <c r="S2" s="611"/>
      <c r="T2" s="611"/>
      <c r="U2" s="611"/>
      <c r="V2" s="611"/>
      <c r="W2" s="611"/>
      <c r="X2" s="244"/>
      <c r="Y2" s="611"/>
      <c r="Z2" s="611"/>
      <c r="AA2" s="611"/>
      <c r="AB2" s="611"/>
      <c r="AC2" s="611"/>
      <c r="AD2" s="611"/>
      <c r="AE2" s="611"/>
      <c r="AF2" s="611"/>
      <c r="AG2" s="611"/>
      <c r="AH2" s="611"/>
      <c r="AI2" s="611"/>
      <c r="AJ2" s="611"/>
      <c r="AK2" s="611"/>
    </row>
    <row r="3" spans="1:37">
      <c r="A3" s="963"/>
      <c r="B3" s="620"/>
      <c r="C3" s="619"/>
      <c r="D3" s="618"/>
      <c r="E3" s="619"/>
      <c r="F3" s="620"/>
      <c r="G3" s="619"/>
      <c r="H3" s="618"/>
      <c r="I3" s="619"/>
      <c r="J3" s="620"/>
      <c r="K3" s="619"/>
      <c r="L3" s="618"/>
      <c r="M3" s="611"/>
      <c r="N3" s="611"/>
      <c r="O3" s="611"/>
      <c r="P3" s="957" t="s">
        <v>666</v>
      </c>
      <c r="Q3" s="957"/>
      <c r="R3" s="957"/>
      <c r="S3" s="957"/>
      <c r="T3" s="957"/>
      <c r="U3" s="957"/>
      <c r="V3" s="957"/>
      <c r="W3" s="957"/>
      <c r="X3" s="678"/>
      <c r="Y3" s="611"/>
      <c r="Z3" s="611"/>
      <c r="AA3" s="611"/>
      <c r="AB3" s="611"/>
      <c r="AC3" s="611"/>
      <c r="AD3" s="611"/>
      <c r="AE3" s="611"/>
      <c r="AF3" s="611"/>
      <c r="AG3" s="611"/>
      <c r="AH3" s="611"/>
      <c r="AI3" s="611"/>
      <c r="AJ3" s="611"/>
      <c r="AK3" s="611"/>
    </row>
    <row r="4" spans="1:37">
      <c r="A4" s="679" t="s">
        <v>554</v>
      </c>
      <c r="B4" s="958" t="s">
        <v>553</v>
      </c>
      <c r="C4" s="959"/>
      <c r="D4" s="959"/>
      <c r="E4" s="959"/>
      <c r="F4" s="959"/>
      <c r="G4" s="959"/>
      <c r="H4" s="959"/>
      <c r="I4" s="959"/>
      <c r="J4" s="959"/>
      <c r="K4" s="959"/>
      <c r="L4" s="960"/>
      <c r="M4" s="611"/>
      <c r="N4" s="611"/>
      <c r="O4" s="611"/>
      <c r="P4" s="660" t="s">
        <v>430</v>
      </c>
      <c r="Q4" s="675"/>
      <c r="R4" s="675"/>
      <c r="S4" s="675"/>
      <c r="T4" s="675"/>
      <c r="U4" s="675"/>
      <c r="V4" s="675"/>
      <c r="W4" s="675"/>
      <c r="X4" s="678"/>
      <c r="Y4" s="611"/>
      <c r="Z4" s="611"/>
      <c r="AA4" s="611"/>
      <c r="AB4" s="611"/>
      <c r="AC4" s="611"/>
      <c r="AD4" s="611"/>
      <c r="AE4" s="611"/>
      <c r="AF4" s="611"/>
      <c r="AG4" s="611"/>
      <c r="AH4" s="611"/>
      <c r="AI4" s="611"/>
      <c r="AJ4" s="611"/>
      <c r="AK4" s="611"/>
    </row>
    <row r="5" spans="1:37">
      <c r="A5" s="961"/>
      <c r="B5" s="622"/>
      <c r="C5" s="647"/>
      <c r="D5" s="636"/>
      <c r="E5" s="611"/>
      <c r="F5" s="622"/>
      <c r="G5" s="647"/>
      <c r="H5" s="636"/>
      <c r="I5" s="611"/>
      <c r="J5" s="622"/>
      <c r="K5" s="647"/>
      <c r="L5" s="636"/>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row>
    <row r="6" spans="1:37">
      <c r="A6" s="962"/>
      <c r="B6" s="677"/>
      <c r="C6" s="691">
        <f>'Crop Budget (Main)'!C9</f>
        <v>0</v>
      </c>
      <c r="D6" s="636"/>
      <c r="E6" s="611"/>
      <c r="F6" s="677"/>
      <c r="G6" s="692">
        <f>'Crop Budget (Main)'!G9</f>
        <v>0</v>
      </c>
      <c r="H6" s="636"/>
      <c r="I6" s="611"/>
      <c r="J6" s="677"/>
      <c r="K6" s="692">
        <f>'Crop Budget (Main)'!K9</f>
        <v>0</v>
      </c>
      <c r="L6" s="636"/>
      <c r="M6" s="611"/>
      <c r="N6" s="611"/>
      <c r="O6" s="611"/>
      <c r="P6" s="676" t="s">
        <v>552</v>
      </c>
      <c r="Q6" s="611"/>
      <c r="R6" s="611"/>
      <c r="S6" s="611"/>
      <c r="T6" s="611"/>
      <c r="U6" s="611"/>
      <c r="V6" s="611"/>
      <c r="W6" s="611"/>
      <c r="X6" s="611"/>
      <c r="Y6" s="611"/>
      <c r="Z6" s="611"/>
      <c r="AA6" s="611"/>
      <c r="AB6" s="611"/>
      <c r="AC6" s="611"/>
      <c r="AD6" s="611"/>
      <c r="AE6" s="611"/>
      <c r="AF6" s="611"/>
      <c r="AG6" s="611"/>
      <c r="AH6" s="611"/>
      <c r="AI6" s="611"/>
      <c r="AJ6" s="611"/>
      <c r="AK6" s="611"/>
    </row>
    <row r="7" spans="1:37">
      <c r="A7" s="963"/>
      <c r="B7" s="622"/>
      <c r="C7" s="690" t="s">
        <v>586</v>
      </c>
      <c r="D7" s="636"/>
      <c r="E7" s="611"/>
      <c r="F7" s="622"/>
      <c r="G7" s="690" t="s">
        <v>586</v>
      </c>
      <c r="H7" s="636"/>
      <c r="I7" s="611"/>
      <c r="J7" s="622"/>
      <c r="K7" s="690" t="s">
        <v>586</v>
      </c>
      <c r="L7" s="636"/>
      <c r="M7" s="611"/>
      <c r="N7" s="611"/>
      <c r="O7" s="611"/>
      <c r="P7" s="675" t="s">
        <v>551</v>
      </c>
      <c r="Q7" s="611"/>
      <c r="R7" s="611"/>
      <c r="S7" s="611"/>
      <c r="T7" s="611"/>
      <c r="U7" s="611"/>
      <c r="V7" s="611"/>
      <c r="W7" s="611"/>
      <c r="X7" s="611"/>
      <c r="Y7" s="611"/>
      <c r="Z7" s="611"/>
      <c r="AA7" s="611"/>
      <c r="AB7" s="611"/>
      <c r="AC7" s="611"/>
      <c r="AD7" s="611"/>
      <c r="AE7" s="611"/>
      <c r="AF7" s="611"/>
      <c r="AG7" s="611"/>
      <c r="AH7" s="611"/>
      <c r="AI7" s="611"/>
      <c r="AJ7" s="611"/>
      <c r="AK7" s="611"/>
    </row>
    <row r="8" spans="1:37">
      <c r="A8" s="669" t="s">
        <v>550</v>
      </c>
      <c r="B8" s="964" t="s">
        <v>549</v>
      </c>
      <c r="C8" s="965"/>
      <c r="D8" s="965"/>
      <c r="E8" s="965"/>
      <c r="F8" s="965"/>
      <c r="G8" s="965"/>
      <c r="H8" s="965"/>
      <c r="I8" s="965"/>
      <c r="J8" s="965"/>
      <c r="K8" s="965"/>
      <c r="L8" s="966"/>
      <c r="M8" s="611"/>
      <c r="N8" s="611"/>
      <c r="O8" s="611"/>
      <c r="P8" s="676" t="s">
        <v>548</v>
      </c>
      <c r="Q8" s="611"/>
      <c r="R8" s="611"/>
      <c r="S8" s="611"/>
      <c r="T8" s="611"/>
      <c r="U8" s="611"/>
      <c r="V8" s="611"/>
      <c r="W8" s="611"/>
      <c r="X8" s="611"/>
      <c r="Y8" s="611"/>
      <c r="Z8" s="611"/>
      <c r="AA8" s="611"/>
      <c r="AB8" s="611"/>
      <c r="AC8" s="611"/>
      <c r="AD8" s="611"/>
      <c r="AE8" s="611"/>
      <c r="AF8" s="611"/>
      <c r="AG8" s="611"/>
      <c r="AH8" s="611"/>
      <c r="AI8" s="611"/>
      <c r="AJ8" s="611"/>
      <c r="AK8" s="611"/>
    </row>
    <row r="9" spans="1:37">
      <c r="A9" s="961"/>
      <c r="B9" s="967" t="s">
        <v>547</v>
      </c>
      <c r="C9" s="968"/>
      <c r="D9" s="968"/>
      <c r="E9" s="968"/>
      <c r="F9" s="968"/>
      <c r="G9" s="968"/>
      <c r="H9" s="968"/>
      <c r="I9" s="968"/>
      <c r="J9" s="968"/>
      <c r="K9" s="968"/>
      <c r="L9" s="969"/>
      <c r="M9" s="611"/>
      <c r="N9" s="611"/>
      <c r="O9" s="611"/>
      <c r="P9" s="675" t="s">
        <v>546</v>
      </c>
      <c r="Q9" s="611"/>
      <c r="R9" s="611"/>
      <c r="S9" s="611"/>
      <c r="T9" s="611"/>
      <c r="U9" s="611"/>
      <c r="V9" s="611"/>
      <c r="W9" s="611"/>
      <c r="X9" s="611"/>
      <c r="Y9" s="611"/>
      <c r="Z9" s="611"/>
      <c r="AA9" s="611"/>
      <c r="AB9" s="611"/>
      <c r="AC9" s="611"/>
      <c r="AD9" s="611"/>
      <c r="AE9" s="611"/>
      <c r="AF9" s="611"/>
      <c r="AG9" s="611"/>
      <c r="AH9" s="611"/>
      <c r="AI9" s="611"/>
      <c r="AJ9" s="611"/>
      <c r="AK9" s="611"/>
    </row>
    <row r="10" spans="1:37" ht="19.5" thickBot="1">
      <c r="A10" s="962"/>
      <c r="B10" s="648" t="s">
        <v>128</v>
      </c>
      <c r="C10" s="647" t="s">
        <v>128</v>
      </c>
      <c r="D10" s="646" t="s">
        <v>128</v>
      </c>
      <c r="E10" s="611"/>
      <c r="F10" s="648" t="s">
        <v>128</v>
      </c>
      <c r="G10" s="647" t="s">
        <v>128</v>
      </c>
      <c r="H10" s="646" t="s">
        <v>128</v>
      </c>
      <c r="I10" s="611"/>
      <c r="J10" s="648" t="s">
        <v>128</v>
      </c>
      <c r="K10" s="647" t="s">
        <v>128</v>
      </c>
      <c r="L10" s="646" t="s">
        <v>128</v>
      </c>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row>
    <row r="11" spans="1:37" ht="19.5" thickBot="1">
      <c r="A11" s="962"/>
      <c r="B11" s="669" t="s">
        <v>96</v>
      </c>
      <c r="C11" s="669" t="s">
        <v>97</v>
      </c>
      <c r="D11" s="669" t="s">
        <v>98</v>
      </c>
      <c r="E11" s="621"/>
      <c r="F11" s="669" t="s">
        <v>96</v>
      </c>
      <c r="G11" s="669" t="s">
        <v>97</v>
      </c>
      <c r="H11" s="669" t="s">
        <v>98</v>
      </c>
      <c r="I11" s="640"/>
      <c r="J11" s="669" t="s">
        <v>96</v>
      </c>
      <c r="K11" s="669" t="s">
        <v>97</v>
      </c>
      <c r="L11" s="669" t="s">
        <v>98</v>
      </c>
      <c r="M11" s="611"/>
      <c r="N11" s="611"/>
      <c r="O11" s="611"/>
      <c r="P11" s="970" t="s">
        <v>545</v>
      </c>
      <c r="Q11" s="971"/>
      <c r="R11" s="971"/>
      <c r="S11" s="972"/>
      <c r="T11" s="611"/>
      <c r="U11" s="611"/>
      <c r="V11" s="611"/>
      <c r="W11" s="611"/>
      <c r="X11" s="611"/>
      <c r="Y11" s="611"/>
      <c r="Z11" s="611"/>
      <c r="AA11" s="611"/>
      <c r="AB11" s="611"/>
      <c r="AC11" s="611"/>
      <c r="AD11" s="611"/>
      <c r="AE11" s="611"/>
      <c r="AF11" s="611"/>
      <c r="AG11" s="611"/>
      <c r="AH11" s="611"/>
      <c r="AI11" s="611"/>
      <c r="AJ11" s="611"/>
      <c r="AK11" s="611"/>
    </row>
    <row r="12" spans="1:37">
      <c r="A12" s="962"/>
      <c r="B12" s="543">
        <v>0</v>
      </c>
      <c r="C12" s="543">
        <v>0</v>
      </c>
      <c r="D12" s="543">
        <v>0</v>
      </c>
      <c r="E12" s="621"/>
      <c r="F12" s="543">
        <v>0</v>
      </c>
      <c r="G12" s="543">
        <v>0</v>
      </c>
      <c r="H12" s="543">
        <v>0</v>
      </c>
      <c r="I12" s="640"/>
      <c r="J12" s="543">
        <v>0</v>
      </c>
      <c r="K12" s="543">
        <v>0</v>
      </c>
      <c r="L12" s="543">
        <v>0</v>
      </c>
      <c r="M12" s="611"/>
      <c r="N12" s="611"/>
      <c r="O12" s="611"/>
      <c r="P12" s="674" t="s">
        <v>128</v>
      </c>
      <c r="Q12" s="611"/>
      <c r="R12" s="611"/>
      <c r="S12" s="673"/>
      <c r="T12" s="611"/>
      <c r="U12" s="611"/>
      <c r="V12" s="611"/>
      <c r="W12" s="611"/>
      <c r="X12" s="611"/>
      <c r="Y12" s="611"/>
      <c r="Z12" s="611"/>
      <c r="AA12" s="611"/>
      <c r="AB12" s="611"/>
      <c r="AC12" s="611"/>
      <c r="AD12" s="611"/>
      <c r="AE12" s="611"/>
      <c r="AF12" s="611"/>
      <c r="AG12" s="611"/>
      <c r="AH12" s="611"/>
      <c r="AI12" s="611"/>
      <c r="AJ12" s="611"/>
      <c r="AK12" s="611"/>
    </row>
    <row r="13" spans="1:37">
      <c r="A13" s="962"/>
      <c r="B13" s="669" t="s">
        <v>99</v>
      </c>
      <c r="C13" s="669" t="s">
        <v>100</v>
      </c>
      <c r="D13" s="669" t="s">
        <v>170</v>
      </c>
      <c r="E13" s="621"/>
      <c r="F13" s="669" t="s">
        <v>99</v>
      </c>
      <c r="G13" s="669" t="s">
        <v>100</v>
      </c>
      <c r="H13" s="669" t="s">
        <v>170</v>
      </c>
      <c r="I13" s="640"/>
      <c r="J13" s="669" t="s">
        <v>99</v>
      </c>
      <c r="K13" s="669" t="s">
        <v>100</v>
      </c>
      <c r="L13" s="669" t="s">
        <v>170</v>
      </c>
      <c r="M13" s="611"/>
      <c r="N13" s="632" t="s">
        <v>255</v>
      </c>
      <c r="O13" s="632"/>
      <c r="P13" s="672" t="s">
        <v>544</v>
      </c>
      <c r="Q13" s="642"/>
      <c r="R13" s="973" t="s">
        <v>543</v>
      </c>
      <c r="S13" s="974"/>
      <c r="T13" s="611"/>
      <c r="U13" s="611"/>
      <c r="V13" s="611"/>
      <c r="W13" s="611"/>
      <c r="X13" s="611"/>
      <c r="Y13" s="611"/>
      <c r="Z13" s="611"/>
      <c r="AA13" s="611"/>
      <c r="AB13" s="611"/>
      <c r="AC13" s="611"/>
      <c r="AD13" s="611"/>
      <c r="AE13" s="611"/>
      <c r="AF13" s="611"/>
      <c r="AG13" s="611"/>
      <c r="AH13" s="611"/>
      <c r="AI13" s="611"/>
      <c r="AJ13" s="611"/>
      <c r="AK13" s="611"/>
    </row>
    <row r="14" spans="1:37" ht="19.5" thickBot="1">
      <c r="A14" s="962"/>
      <c r="B14" s="543">
        <v>0</v>
      </c>
      <c r="C14" s="543">
        <v>0</v>
      </c>
      <c r="D14" s="543">
        <v>0</v>
      </c>
      <c r="E14" s="621"/>
      <c r="F14" s="543">
        <v>0</v>
      </c>
      <c r="G14" s="543">
        <v>0</v>
      </c>
      <c r="H14" s="543">
        <v>0</v>
      </c>
      <c r="I14" s="640"/>
      <c r="J14" s="543">
        <v>0</v>
      </c>
      <c r="K14" s="543">
        <v>0</v>
      </c>
      <c r="L14" s="543">
        <v>0</v>
      </c>
      <c r="M14" s="611"/>
      <c r="N14" s="632" t="s">
        <v>256</v>
      </c>
      <c r="O14" s="632"/>
      <c r="P14" s="671">
        <v>0</v>
      </c>
      <c r="Q14" s="670" t="s">
        <v>542</v>
      </c>
      <c r="R14" s="975">
        <f>P14*2</f>
        <v>0</v>
      </c>
      <c r="S14" s="976"/>
      <c r="T14" s="611"/>
      <c r="U14" s="611"/>
      <c r="V14" s="611"/>
      <c r="W14" s="611"/>
      <c r="X14" s="611"/>
      <c r="Y14" s="611"/>
      <c r="Z14" s="611"/>
      <c r="AA14" s="611"/>
      <c r="AB14" s="611"/>
      <c r="AC14" s="611"/>
      <c r="AD14" s="611"/>
      <c r="AE14" s="611"/>
      <c r="AF14" s="611"/>
      <c r="AG14" s="611"/>
      <c r="AH14" s="611"/>
      <c r="AI14" s="611"/>
      <c r="AJ14" s="611"/>
      <c r="AK14" s="611"/>
    </row>
    <row r="15" spans="1:37" ht="18.75" customHeight="1" thickBot="1">
      <c r="A15" s="962"/>
      <c r="B15" s="669" t="s">
        <v>102</v>
      </c>
      <c r="C15" s="669" t="s">
        <v>103</v>
      </c>
      <c r="D15" s="669" t="s">
        <v>104</v>
      </c>
      <c r="E15" s="621"/>
      <c r="F15" s="669" t="s">
        <v>102</v>
      </c>
      <c r="G15" s="669" t="s">
        <v>103</v>
      </c>
      <c r="H15" s="669" t="s">
        <v>104</v>
      </c>
      <c r="I15" s="640"/>
      <c r="J15" s="669" t="s">
        <v>102</v>
      </c>
      <c r="K15" s="669" t="s">
        <v>103</v>
      </c>
      <c r="L15" s="669" t="s">
        <v>104</v>
      </c>
      <c r="M15" s="611"/>
      <c r="N15" s="977" t="s">
        <v>254</v>
      </c>
      <c r="O15" s="657"/>
      <c r="P15" s="668"/>
      <c r="Q15" s="667"/>
      <c r="R15" s="667"/>
      <c r="S15" s="666"/>
      <c r="T15" s="611"/>
      <c r="U15" s="611"/>
      <c r="V15" s="611"/>
      <c r="W15" s="611"/>
      <c r="X15" s="611"/>
      <c r="Y15" s="611"/>
      <c r="Z15" s="611"/>
      <c r="AA15" s="611"/>
      <c r="AB15" s="611"/>
      <c r="AC15" s="611"/>
      <c r="AD15" s="611"/>
      <c r="AE15" s="611"/>
      <c r="AF15" s="611"/>
      <c r="AG15" s="611"/>
      <c r="AH15" s="611"/>
      <c r="AI15" s="611"/>
      <c r="AJ15" s="611"/>
      <c r="AK15" s="611"/>
    </row>
    <row r="16" spans="1:37" ht="18.75" customHeight="1">
      <c r="A16" s="962"/>
      <c r="B16" s="543">
        <v>0</v>
      </c>
      <c r="C16" s="543">
        <v>0</v>
      </c>
      <c r="D16" s="543">
        <v>0</v>
      </c>
      <c r="E16" s="617"/>
      <c r="F16" s="543">
        <v>0</v>
      </c>
      <c r="G16" s="543">
        <v>0</v>
      </c>
      <c r="H16" s="543">
        <v>0</v>
      </c>
      <c r="I16" s="663"/>
      <c r="J16" s="543">
        <v>0</v>
      </c>
      <c r="K16" s="543">
        <v>0</v>
      </c>
      <c r="L16" s="543">
        <v>0</v>
      </c>
      <c r="M16" s="611"/>
      <c r="N16" s="977"/>
      <c r="O16" s="657"/>
      <c r="P16" s="611"/>
      <c r="Q16" s="611"/>
      <c r="R16" s="611"/>
      <c r="S16" s="611"/>
      <c r="T16" s="611"/>
      <c r="U16" s="611"/>
      <c r="V16" s="611"/>
      <c r="W16" s="611"/>
      <c r="X16" s="611"/>
      <c r="Y16" s="611"/>
      <c r="Z16" s="611"/>
      <c r="AA16" s="611"/>
      <c r="AB16" s="611"/>
      <c r="AC16" s="611"/>
      <c r="AD16" s="611"/>
      <c r="AE16" s="611"/>
      <c r="AF16" s="611"/>
      <c r="AG16" s="611"/>
      <c r="AH16" s="611"/>
      <c r="AI16" s="611"/>
      <c r="AJ16" s="611"/>
      <c r="AK16" s="611"/>
    </row>
    <row r="17" spans="1:37" ht="18.75" customHeight="1">
      <c r="A17" s="962"/>
      <c r="B17" s="669" t="s">
        <v>886</v>
      </c>
      <c r="C17" s="669" t="s">
        <v>887</v>
      </c>
      <c r="D17" s="669" t="s">
        <v>888</v>
      </c>
      <c r="E17" s="617"/>
      <c r="F17" s="669" t="s">
        <v>886</v>
      </c>
      <c r="G17" s="669" t="s">
        <v>887</v>
      </c>
      <c r="H17" s="669" t="s">
        <v>888</v>
      </c>
      <c r="I17" s="663"/>
      <c r="J17" s="669" t="s">
        <v>886</v>
      </c>
      <c r="K17" s="669" t="s">
        <v>887</v>
      </c>
      <c r="L17" s="669" t="s">
        <v>888</v>
      </c>
      <c r="M17" s="611"/>
      <c r="N17" s="657"/>
      <c r="O17" s="657"/>
      <c r="P17" s="611"/>
      <c r="Q17" s="611"/>
      <c r="R17" s="611"/>
      <c r="S17" s="611"/>
      <c r="T17" s="611"/>
      <c r="U17" s="611"/>
      <c r="V17" s="611"/>
      <c r="W17" s="611"/>
      <c r="X17" s="611"/>
      <c r="Y17" s="611"/>
      <c r="Z17" s="611"/>
      <c r="AA17" s="611"/>
      <c r="AB17" s="611"/>
      <c r="AC17" s="611"/>
      <c r="AD17" s="611"/>
      <c r="AE17" s="611"/>
      <c r="AF17" s="611"/>
      <c r="AG17" s="611"/>
      <c r="AH17" s="611"/>
      <c r="AI17" s="611"/>
      <c r="AJ17" s="611"/>
      <c r="AK17" s="611"/>
    </row>
    <row r="18" spans="1:37" ht="18.75" customHeight="1">
      <c r="A18" s="962"/>
      <c r="B18" s="543">
        <v>0</v>
      </c>
      <c r="C18" s="543">
        <v>0</v>
      </c>
      <c r="D18" s="543">
        <v>0</v>
      </c>
      <c r="E18" s="617"/>
      <c r="F18" s="543">
        <v>0</v>
      </c>
      <c r="G18" s="543">
        <v>0</v>
      </c>
      <c r="H18" s="543">
        <v>0</v>
      </c>
      <c r="I18" s="663"/>
      <c r="J18" s="543">
        <v>0</v>
      </c>
      <c r="K18" s="543">
        <v>0</v>
      </c>
      <c r="L18" s="543">
        <v>0</v>
      </c>
      <c r="M18" s="611"/>
      <c r="N18" s="657"/>
      <c r="O18" s="657"/>
      <c r="P18" s="611"/>
      <c r="Q18" s="611"/>
      <c r="R18" s="611"/>
      <c r="S18" s="611"/>
      <c r="T18" s="611"/>
      <c r="U18" s="611"/>
      <c r="V18" s="611"/>
      <c r="W18" s="611"/>
      <c r="X18" s="611"/>
      <c r="Y18" s="611"/>
      <c r="Z18" s="611"/>
      <c r="AA18" s="611"/>
      <c r="AB18" s="611"/>
      <c r="AC18" s="611"/>
      <c r="AD18" s="611"/>
      <c r="AE18" s="611"/>
      <c r="AF18" s="611"/>
      <c r="AG18" s="611"/>
      <c r="AH18" s="611"/>
      <c r="AI18" s="611"/>
      <c r="AJ18" s="611"/>
      <c r="AK18" s="611"/>
    </row>
    <row r="19" spans="1:37">
      <c r="A19" s="962"/>
      <c r="B19" s="662" t="s">
        <v>536</v>
      </c>
      <c r="C19" s="662" t="s">
        <v>536</v>
      </c>
      <c r="D19" s="662" t="s">
        <v>536</v>
      </c>
      <c r="E19" s="617"/>
      <c r="F19" s="662" t="s">
        <v>536</v>
      </c>
      <c r="G19" s="662" t="s">
        <v>536</v>
      </c>
      <c r="H19" s="662" t="s">
        <v>536</v>
      </c>
      <c r="I19" s="663"/>
      <c r="J19" s="662" t="s">
        <v>536</v>
      </c>
      <c r="K19" s="662" t="s">
        <v>536</v>
      </c>
      <c r="L19" s="662" t="s">
        <v>536</v>
      </c>
      <c r="M19" s="611"/>
      <c r="N19" s="977" t="s">
        <v>254</v>
      </c>
      <c r="O19" s="657"/>
      <c r="P19" s="611"/>
      <c r="Q19" s="611"/>
      <c r="R19" s="611"/>
      <c r="S19" s="611"/>
      <c r="T19" s="611"/>
      <c r="U19" s="611"/>
      <c r="V19" s="611"/>
      <c r="W19" s="611"/>
      <c r="X19" s="611"/>
      <c r="Y19" s="611"/>
      <c r="Z19" s="611"/>
      <c r="AA19" s="611"/>
      <c r="AB19" s="611"/>
      <c r="AC19" s="611"/>
      <c r="AD19" s="611"/>
      <c r="AE19" s="611"/>
      <c r="AF19" s="611"/>
      <c r="AG19" s="611"/>
      <c r="AH19" s="611"/>
      <c r="AI19" s="611"/>
      <c r="AJ19" s="611"/>
      <c r="AK19" s="611"/>
    </row>
    <row r="20" spans="1:37" hidden="1">
      <c r="A20" s="963"/>
      <c r="B20" s="622"/>
      <c r="C20" s="611"/>
      <c r="D20" s="636"/>
      <c r="E20" s="611"/>
      <c r="F20" s="622"/>
      <c r="G20" s="611"/>
      <c r="H20" s="636"/>
      <c r="I20" s="611"/>
      <c r="J20" s="622"/>
      <c r="K20" s="611"/>
      <c r="L20" s="636"/>
      <c r="M20" s="611"/>
      <c r="N20" s="977"/>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row>
    <row r="21" spans="1:37" hidden="1">
      <c r="A21" s="665" t="s">
        <v>541</v>
      </c>
      <c r="B21" s="985" t="s">
        <v>507</v>
      </c>
      <c r="C21" s="986"/>
      <c r="D21" s="986"/>
      <c r="E21" s="986"/>
      <c r="F21" s="986"/>
      <c r="G21" s="986"/>
      <c r="H21" s="986"/>
      <c r="I21" s="986"/>
      <c r="J21" s="986"/>
      <c r="K21" s="986"/>
      <c r="L21" s="987"/>
      <c r="M21" s="611"/>
      <c r="N21" s="611"/>
      <c r="O21" s="611"/>
      <c r="P21" s="658" t="s">
        <v>540</v>
      </c>
      <c r="Q21" s="611"/>
      <c r="R21" s="611"/>
      <c r="S21" s="611"/>
      <c r="T21" s="611"/>
      <c r="U21" s="611"/>
      <c r="V21" s="611"/>
      <c r="W21" s="611"/>
      <c r="X21" s="611"/>
      <c r="Y21" s="611"/>
      <c r="Z21" s="611"/>
      <c r="AA21" s="611"/>
      <c r="AB21" s="611"/>
      <c r="AC21" s="611"/>
      <c r="AD21" s="611"/>
      <c r="AE21" s="611"/>
      <c r="AF21" s="611"/>
      <c r="AG21" s="611"/>
      <c r="AH21" s="611"/>
      <c r="AI21" s="611"/>
      <c r="AJ21" s="611"/>
      <c r="AK21" s="611"/>
    </row>
    <row r="22" spans="1:37" ht="18.75" hidden="1" customHeight="1">
      <c r="A22" s="961"/>
      <c r="B22" s="967" t="s">
        <v>539</v>
      </c>
      <c r="C22" s="968"/>
      <c r="D22" s="968"/>
      <c r="E22" s="968"/>
      <c r="F22" s="968"/>
      <c r="G22" s="968"/>
      <c r="H22" s="968"/>
      <c r="I22" s="968"/>
      <c r="J22" s="968"/>
      <c r="K22" s="968"/>
      <c r="L22" s="969"/>
      <c r="M22" s="611"/>
      <c r="N22" s="611"/>
      <c r="O22" s="611"/>
      <c r="P22" s="988" t="s">
        <v>538</v>
      </c>
      <c r="Q22" s="988"/>
      <c r="R22" s="988"/>
      <c r="S22" s="988"/>
      <c r="T22" s="988"/>
      <c r="U22" s="611"/>
      <c r="V22" s="611"/>
      <c r="W22" s="611"/>
      <c r="X22" s="611"/>
      <c r="Y22" s="611"/>
      <c r="Z22" s="611"/>
      <c r="AA22" s="611"/>
      <c r="AB22" s="611"/>
      <c r="AC22" s="611"/>
      <c r="AD22" s="611"/>
      <c r="AE22" s="611"/>
      <c r="AF22" s="611"/>
      <c r="AG22" s="611"/>
      <c r="AH22" s="611"/>
      <c r="AI22" s="611"/>
      <c r="AJ22" s="611"/>
      <c r="AK22" s="611"/>
    </row>
    <row r="23" spans="1:37" ht="18.75" hidden="1" customHeight="1">
      <c r="A23" s="962"/>
      <c r="B23" s="622"/>
      <c r="C23" s="611"/>
      <c r="D23" s="636"/>
      <c r="E23" s="611"/>
      <c r="F23" s="622"/>
      <c r="G23" s="611"/>
      <c r="H23" s="636"/>
      <c r="I23" s="611"/>
      <c r="J23" s="622"/>
      <c r="K23" s="611"/>
      <c r="L23" s="636"/>
      <c r="M23" s="611"/>
      <c r="N23" s="611"/>
      <c r="O23" s="611"/>
      <c r="P23" s="988"/>
      <c r="Q23" s="988"/>
      <c r="R23" s="988"/>
      <c r="S23" s="988"/>
      <c r="T23" s="988"/>
      <c r="U23" s="611"/>
      <c r="V23" s="611"/>
      <c r="W23" s="611"/>
      <c r="X23" s="611"/>
      <c r="Y23" s="611"/>
      <c r="Z23" s="611"/>
      <c r="AA23" s="611"/>
      <c r="AB23" s="611"/>
      <c r="AC23" s="611"/>
      <c r="AD23" s="611"/>
      <c r="AE23" s="611"/>
      <c r="AF23" s="611"/>
      <c r="AG23" s="611"/>
      <c r="AH23" s="611"/>
      <c r="AI23" s="611"/>
      <c r="AJ23" s="611"/>
      <c r="AK23" s="611"/>
    </row>
    <row r="24" spans="1:37" hidden="1">
      <c r="A24" s="962"/>
      <c r="B24" s="665" t="s">
        <v>96</v>
      </c>
      <c r="C24" s="665" t="s">
        <v>97</v>
      </c>
      <c r="D24" s="665" t="s">
        <v>98</v>
      </c>
      <c r="E24" s="624"/>
      <c r="F24" s="665" t="s">
        <v>96</v>
      </c>
      <c r="G24" s="665" t="s">
        <v>97</v>
      </c>
      <c r="H24" s="665" t="s">
        <v>98</v>
      </c>
      <c r="I24" s="624"/>
      <c r="J24" s="665" t="s">
        <v>96</v>
      </c>
      <c r="K24" s="665" t="s">
        <v>97</v>
      </c>
      <c r="L24" s="665" t="s">
        <v>98</v>
      </c>
      <c r="M24" s="611"/>
      <c r="N24" s="611"/>
      <c r="O24" s="611"/>
      <c r="P24" s="988"/>
      <c r="Q24" s="988"/>
      <c r="R24" s="988"/>
      <c r="S24" s="988"/>
      <c r="T24" s="988"/>
      <c r="U24" s="611"/>
      <c r="V24" s="611"/>
      <c r="W24" s="611"/>
      <c r="X24" s="611"/>
      <c r="Y24" s="611"/>
      <c r="Z24" s="611"/>
      <c r="AA24" s="611"/>
      <c r="AB24" s="611"/>
      <c r="AC24" s="611"/>
      <c r="AD24" s="611"/>
      <c r="AE24" s="611"/>
      <c r="AF24" s="611"/>
      <c r="AG24" s="611"/>
      <c r="AH24" s="611"/>
      <c r="AI24" s="611"/>
      <c r="AJ24" s="611"/>
      <c r="AK24" s="611"/>
    </row>
    <row r="25" spans="1:37" hidden="1">
      <c r="A25" s="962"/>
      <c r="B25" s="627">
        <f>0.9*C6</f>
        <v>0</v>
      </c>
      <c r="C25" s="627">
        <f>0.37*C6</f>
        <v>0</v>
      </c>
      <c r="D25" s="627">
        <f>0.27*C6</f>
        <v>0</v>
      </c>
      <c r="E25" s="621"/>
      <c r="F25" s="634">
        <f>3.8*G6</f>
        <v>0</v>
      </c>
      <c r="G25" s="627">
        <f>0.8*G6</f>
        <v>0</v>
      </c>
      <c r="H25" s="627">
        <f>1.4*G6</f>
        <v>0</v>
      </c>
      <c r="I25" s="621"/>
      <c r="J25" s="627">
        <f>1.2*K6</f>
        <v>0</v>
      </c>
      <c r="K25" s="627">
        <f>0.63*K6</f>
        <v>0</v>
      </c>
      <c r="L25" s="627">
        <f>0.37*K6</f>
        <v>0</v>
      </c>
      <c r="M25" s="611"/>
      <c r="N25" s="611"/>
      <c r="O25" s="611"/>
      <c r="P25" s="988"/>
      <c r="Q25" s="988"/>
      <c r="R25" s="988"/>
      <c r="S25" s="988"/>
      <c r="T25" s="988"/>
      <c r="U25" s="611"/>
      <c r="V25" s="611"/>
      <c r="W25" s="611"/>
      <c r="X25" s="611"/>
      <c r="Y25" s="611"/>
      <c r="Z25" s="611"/>
      <c r="AA25" s="611"/>
      <c r="AB25" s="611"/>
      <c r="AC25" s="611"/>
      <c r="AD25" s="611"/>
      <c r="AE25" s="611"/>
      <c r="AF25" s="611"/>
      <c r="AG25" s="611"/>
      <c r="AH25" s="611"/>
      <c r="AI25" s="611"/>
      <c r="AJ25" s="611"/>
      <c r="AK25" s="611"/>
    </row>
    <row r="26" spans="1:37" hidden="1">
      <c r="A26" s="962"/>
      <c r="B26" s="665" t="s">
        <v>99</v>
      </c>
      <c r="C26" s="665" t="s">
        <v>100</v>
      </c>
      <c r="D26" s="665" t="s">
        <v>170</v>
      </c>
      <c r="E26" s="621"/>
      <c r="F26" s="665" t="s">
        <v>99</v>
      </c>
      <c r="G26" s="665" t="s">
        <v>100</v>
      </c>
      <c r="H26" s="665" t="s">
        <v>170</v>
      </c>
      <c r="I26" s="621"/>
      <c r="J26" s="665" t="s">
        <v>99</v>
      </c>
      <c r="K26" s="665" t="s">
        <v>100</v>
      </c>
      <c r="L26" s="665" t="s">
        <v>170</v>
      </c>
      <c r="M26" s="611"/>
      <c r="N26" s="611"/>
      <c r="O26" s="611"/>
      <c r="P26" s="664"/>
      <c r="Q26" s="664"/>
      <c r="R26" s="664"/>
      <c r="S26" s="664"/>
      <c r="T26" s="611"/>
      <c r="U26" s="611"/>
      <c r="V26" s="611"/>
      <c r="W26" s="611"/>
      <c r="X26" s="611"/>
      <c r="Y26" s="611"/>
      <c r="Z26" s="611"/>
      <c r="AA26" s="611"/>
      <c r="AB26" s="611"/>
      <c r="AC26" s="611"/>
      <c r="AD26" s="611"/>
      <c r="AE26" s="611"/>
      <c r="AF26" s="611"/>
      <c r="AG26" s="611"/>
      <c r="AH26" s="611"/>
      <c r="AI26" s="611"/>
      <c r="AJ26" s="611"/>
      <c r="AK26" s="611"/>
    </row>
    <row r="27" spans="1:37" ht="18.75" hidden="1" customHeight="1">
      <c r="A27" s="962"/>
      <c r="B27" s="627">
        <f>0.05*C6</f>
        <v>0</v>
      </c>
      <c r="C27" s="627">
        <v>0</v>
      </c>
      <c r="D27" s="627">
        <v>0</v>
      </c>
      <c r="E27" s="621"/>
      <c r="F27" s="627">
        <f>0.18*G6</f>
        <v>0</v>
      </c>
      <c r="G27" s="627">
        <v>0</v>
      </c>
      <c r="H27" s="627">
        <v>0</v>
      </c>
      <c r="I27" s="621"/>
      <c r="J27" s="627">
        <f>0.07*K6</f>
        <v>0</v>
      </c>
      <c r="K27" s="627">
        <v>0</v>
      </c>
      <c r="L27" s="627">
        <v>0</v>
      </c>
      <c r="M27" s="611"/>
      <c r="N27" s="611"/>
      <c r="O27" s="611"/>
      <c r="P27" s="989" t="s">
        <v>537</v>
      </c>
      <c r="Q27" s="989"/>
      <c r="R27" s="989"/>
      <c r="S27" s="989"/>
      <c r="T27" s="989"/>
      <c r="U27" s="611"/>
      <c r="V27" s="611"/>
      <c r="W27" s="611"/>
      <c r="X27" s="611"/>
      <c r="Y27" s="611"/>
      <c r="Z27" s="611"/>
      <c r="AA27" s="611"/>
      <c r="AB27" s="611"/>
      <c r="AC27" s="611"/>
      <c r="AD27" s="611"/>
      <c r="AE27" s="611"/>
      <c r="AF27" s="611"/>
      <c r="AG27" s="611"/>
      <c r="AH27" s="611"/>
      <c r="AI27" s="611"/>
      <c r="AJ27" s="611"/>
      <c r="AK27" s="611"/>
    </row>
    <row r="28" spans="1:37" hidden="1">
      <c r="A28" s="962"/>
      <c r="B28" s="662" t="s">
        <v>536</v>
      </c>
      <c r="C28" s="662" t="s">
        <v>536</v>
      </c>
      <c r="D28" s="662" t="s">
        <v>536</v>
      </c>
      <c r="E28" s="617"/>
      <c r="F28" s="662" t="s">
        <v>536</v>
      </c>
      <c r="G28" s="662" t="s">
        <v>536</v>
      </c>
      <c r="H28" s="662" t="s">
        <v>536</v>
      </c>
      <c r="I28" s="663"/>
      <c r="J28" s="662" t="s">
        <v>536</v>
      </c>
      <c r="K28" s="662" t="s">
        <v>536</v>
      </c>
      <c r="L28" s="662" t="s">
        <v>536</v>
      </c>
      <c r="M28" s="611"/>
      <c r="N28" s="611"/>
      <c r="O28" s="611"/>
      <c r="P28" s="989"/>
      <c r="Q28" s="989"/>
      <c r="R28" s="989"/>
      <c r="S28" s="989"/>
      <c r="T28" s="989"/>
      <c r="U28" s="611"/>
      <c r="V28" s="611"/>
      <c r="W28" s="611"/>
      <c r="X28" s="611"/>
      <c r="Y28" s="611"/>
      <c r="Z28" s="611"/>
      <c r="AA28" s="611"/>
      <c r="AB28" s="611"/>
      <c r="AC28" s="611"/>
      <c r="AD28" s="611"/>
      <c r="AE28" s="611"/>
      <c r="AF28" s="611"/>
      <c r="AG28" s="611"/>
      <c r="AH28" s="611"/>
      <c r="AI28" s="611"/>
      <c r="AJ28" s="611"/>
      <c r="AK28" s="611"/>
    </row>
    <row r="29" spans="1:37">
      <c r="A29" s="963"/>
      <c r="B29" s="622"/>
      <c r="C29" s="611"/>
      <c r="D29" s="636"/>
      <c r="E29" s="611"/>
      <c r="F29" s="622"/>
      <c r="G29" s="611"/>
      <c r="H29" s="636"/>
      <c r="I29" s="611"/>
      <c r="J29" s="622"/>
      <c r="K29" s="611"/>
      <c r="L29" s="636"/>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row>
    <row r="30" spans="1:37">
      <c r="A30" s="542" t="s">
        <v>541</v>
      </c>
      <c r="B30" s="990" t="s">
        <v>534</v>
      </c>
      <c r="C30" s="991"/>
      <c r="D30" s="991"/>
      <c r="E30" s="991"/>
      <c r="F30" s="991"/>
      <c r="G30" s="991"/>
      <c r="H30" s="991"/>
      <c r="I30" s="991"/>
      <c r="J30" s="991"/>
      <c r="K30" s="991"/>
      <c r="L30" s="992"/>
      <c r="M30" s="611"/>
      <c r="N30" s="611"/>
      <c r="O30" s="611"/>
      <c r="P30" s="661" t="s">
        <v>533</v>
      </c>
      <c r="Q30" s="611"/>
      <c r="R30" s="611"/>
      <c r="S30" s="611"/>
      <c r="T30" s="611"/>
      <c r="U30" s="611"/>
      <c r="V30" s="611"/>
      <c r="W30" s="611"/>
      <c r="X30" s="611"/>
      <c r="Y30" s="611"/>
      <c r="Z30" s="611"/>
      <c r="AA30" s="611"/>
      <c r="AB30" s="611"/>
      <c r="AC30" s="611"/>
      <c r="AD30" s="611"/>
      <c r="AE30" s="611"/>
      <c r="AF30" s="611"/>
      <c r="AG30" s="611"/>
      <c r="AH30" s="611"/>
      <c r="AI30" s="611"/>
      <c r="AJ30" s="611"/>
      <c r="AK30" s="611"/>
    </row>
    <row r="31" spans="1:37">
      <c r="A31" s="961"/>
      <c r="B31" s="967" t="s">
        <v>532</v>
      </c>
      <c r="C31" s="968"/>
      <c r="D31" s="968"/>
      <c r="E31" s="968"/>
      <c r="F31" s="968"/>
      <c r="G31" s="968"/>
      <c r="H31" s="968"/>
      <c r="I31" s="968"/>
      <c r="J31" s="968"/>
      <c r="K31" s="968"/>
      <c r="L31" s="969"/>
      <c r="M31" s="611"/>
      <c r="N31" s="611"/>
      <c r="O31" s="611"/>
      <c r="P31" s="660" t="s">
        <v>531</v>
      </c>
      <c r="Q31" s="611"/>
      <c r="R31" s="611"/>
      <c r="S31" s="611"/>
      <c r="T31" s="611"/>
      <c r="U31" s="611"/>
      <c r="V31" s="611"/>
      <c r="W31" s="611"/>
      <c r="X31" s="611"/>
      <c r="Y31" s="611"/>
      <c r="Z31" s="611"/>
      <c r="AA31" s="611"/>
      <c r="AB31" s="611"/>
      <c r="AC31" s="611"/>
      <c r="AD31" s="611"/>
      <c r="AE31" s="611"/>
      <c r="AF31" s="611"/>
      <c r="AG31" s="611"/>
      <c r="AH31" s="611"/>
      <c r="AI31" s="611"/>
      <c r="AJ31" s="611"/>
      <c r="AK31" s="611"/>
    </row>
    <row r="32" spans="1:37">
      <c r="A32" s="962"/>
      <c r="B32" s="648" t="s">
        <v>128</v>
      </c>
      <c r="C32" s="647" t="s">
        <v>128</v>
      </c>
      <c r="D32" s="647" t="s">
        <v>128</v>
      </c>
      <c r="E32" s="622"/>
      <c r="F32" s="648" t="s">
        <v>128</v>
      </c>
      <c r="G32" s="647" t="s">
        <v>128</v>
      </c>
      <c r="H32" s="647" t="s">
        <v>128</v>
      </c>
      <c r="I32" s="622"/>
      <c r="J32" s="648" t="s">
        <v>128</v>
      </c>
      <c r="K32" s="647" t="s">
        <v>128</v>
      </c>
      <c r="L32" s="646" t="s">
        <v>128</v>
      </c>
      <c r="M32" s="611"/>
      <c r="N32" s="611"/>
      <c r="O32" s="632"/>
      <c r="P32" s="660" t="s">
        <v>530</v>
      </c>
      <c r="Q32" s="611"/>
      <c r="R32" s="659" t="s">
        <v>529</v>
      </c>
      <c r="S32" s="611"/>
      <c r="T32" s="611"/>
      <c r="U32" s="611"/>
      <c r="V32" s="611"/>
      <c r="W32" s="611"/>
      <c r="X32" s="611"/>
      <c r="Y32" s="611"/>
      <c r="Z32" s="611"/>
      <c r="AA32" s="611"/>
      <c r="AB32" s="611"/>
      <c r="AC32" s="611"/>
      <c r="AD32" s="611"/>
      <c r="AE32" s="611"/>
      <c r="AF32" s="611"/>
      <c r="AG32" s="611"/>
      <c r="AH32" s="611"/>
      <c r="AI32" s="611"/>
      <c r="AJ32" s="611"/>
      <c r="AK32" s="611"/>
    </row>
    <row r="33" spans="1:37">
      <c r="A33" s="962"/>
      <c r="B33" s="542" t="s">
        <v>96</v>
      </c>
      <c r="C33" s="542" t="s">
        <v>97</v>
      </c>
      <c r="D33" s="542" t="s">
        <v>98</v>
      </c>
      <c r="E33" s="624"/>
      <c r="F33" s="542" t="s">
        <v>96</v>
      </c>
      <c r="G33" s="542" t="s">
        <v>97</v>
      </c>
      <c r="H33" s="542" t="s">
        <v>98</v>
      </c>
      <c r="I33" s="622"/>
      <c r="J33" s="542" t="s">
        <v>96</v>
      </c>
      <c r="K33" s="542" t="s">
        <v>97</v>
      </c>
      <c r="L33" s="542" t="s">
        <v>98</v>
      </c>
      <c r="M33" s="611"/>
      <c r="N33" s="611"/>
      <c r="O33" s="632"/>
      <c r="P33" s="611"/>
      <c r="Q33" s="611"/>
      <c r="R33" s="611"/>
      <c r="S33" s="611"/>
      <c r="T33" s="611"/>
      <c r="U33" s="611"/>
      <c r="V33" s="611"/>
      <c r="W33" s="611"/>
      <c r="X33" s="611"/>
      <c r="Y33" s="611"/>
      <c r="Z33" s="611"/>
      <c r="AA33" s="611"/>
      <c r="AB33" s="611"/>
      <c r="AC33" s="611"/>
      <c r="AD33" s="611"/>
      <c r="AE33" s="611"/>
      <c r="AF33" s="611"/>
      <c r="AG33" s="611"/>
      <c r="AH33" s="611"/>
      <c r="AI33" s="611"/>
      <c r="AJ33" s="611"/>
      <c r="AK33" s="611"/>
    </row>
    <row r="34" spans="1:37">
      <c r="A34" s="962"/>
      <c r="B34" s="543">
        <v>0</v>
      </c>
      <c r="C34" s="543">
        <v>0</v>
      </c>
      <c r="D34" s="543">
        <v>0</v>
      </c>
      <c r="E34" s="621"/>
      <c r="F34" s="543">
        <v>0</v>
      </c>
      <c r="G34" s="543">
        <v>0</v>
      </c>
      <c r="H34" s="543">
        <v>0</v>
      </c>
      <c r="I34" s="622"/>
      <c r="J34" s="543">
        <v>0</v>
      </c>
      <c r="K34" s="543">
        <v>0</v>
      </c>
      <c r="L34" s="543">
        <v>0</v>
      </c>
      <c r="M34" s="611"/>
      <c r="N34" s="611"/>
      <c r="O34" s="657"/>
      <c r="P34" s="658" t="s">
        <v>528</v>
      </c>
      <c r="Q34" s="611"/>
      <c r="R34" s="611"/>
      <c r="S34" s="611"/>
      <c r="T34" s="611"/>
      <c r="U34" s="611"/>
      <c r="V34" s="611"/>
      <c r="W34" s="611"/>
      <c r="X34" s="611"/>
      <c r="Y34" s="611"/>
      <c r="Z34" s="611"/>
      <c r="AA34" s="611"/>
      <c r="AB34" s="611"/>
      <c r="AC34" s="611"/>
      <c r="AD34" s="611"/>
      <c r="AE34" s="611"/>
      <c r="AF34" s="611"/>
      <c r="AG34" s="611"/>
      <c r="AH34" s="611"/>
      <c r="AI34" s="611"/>
      <c r="AJ34" s="611"/>
      <c r="AK34" s="611"/>
    </row>
    <row r="35" spans="1:37">
      <c r="A35" s="962"/>
      <c r="B35" s="542" t="s">
        <v>99</v>
      </c>
      <c r="C35" s="611"/>
      <c r="D35" s="611"/>
      <c r="E35" s="652"/>
      <c r="F35" s="542" t="s">
        <v>99</v>
      </c>
      <c r="G35" s="611"/>
      <c r="H35" s="611"/>
      <c r="I35" s="622"/>
      <c r="J35" s="542" t="s">
        <v>99</v>
      </c>
      <c r="K35" s="611"/>
      <c r="L35" s="636"/>
      <c r="M35" s="611"/>
      <c r="N35" s="611"/>
      <c r="O35" s="657"/>
      <c r="P35" s="989" t="s">
        <v>527</v>
      </c>
      <c r="Q35" s="989"/>
      <c r="R35" s="989"/>
      <c r="S35" s="989"/>
      <c r="T35" s="989"/>
      <c r="U35" s="611"/>
      <c r="V35" s="611"/>
      <c r="W35" s="611"/>
      <c r="X35" s="611"/>
      <c r="Y35" s="611"/>
      <c r="Z35" s="611"/>
      <c r="AA35" s="611"/>
      <c r="AB35" s="611"/>
      <c r="AC35" s="611"/>
      <c r="AD35" s="611"/>
      <c r="AE35" s="611"/>
      <c r="AF35" s="611"/>
      <c r="AG35" s="611"/>
      <c r="AH35" s="611"/>
      <c r="AI35" s="611"/>
      <c r="AJ35" s="611"/>
      <c r="AK35" s="611"/>
    </row>
    <row r="36" spans="1:37">
      <c r="A36" s="962"/>
      <c r="B36" s="543">
        <v>0</v>
      </c>
      <c r="C36" s="611"/>
      <c r="D36" s="656" t="s">
        <v>515</v>
      </c>
      <c r="E36" s="652"/>
      <c r="F36" s="543">
        <v>0</v>
      </c>
      <c r="G36" s="611"/>
      <c r="H36" s="656" t="s">
        <v>515</v>
      </c>
      <c r="I36" s="622"/>
      <c r="J36" s="543">
        <v>0</v>
      </c>
      <c r="K36" s="611"/>
      <c r="L36" s="655" t="s">
        <v>515</v>
      </c>
      <c r="M36" s="611"/>
      <c r="N36" s="611"/>
      <c r="O36" s="611"/>
      <c r="P36" s="989"/>
      <c r="Q36" s="989"/>
      <c r="R36" s="989"/>
      <c r="S36" s="989"/>
      <c r="T36" s="989"/>
      <c r="U36" s="611"/>
      <c r="V36" s="611"/>
      <c r="W36" s="611"/>
      <c r="X36" s="611"/>
      <c r="Y36" s="611"/>
      <c r="Z36" s="611"/>
      <c r="AA36" s="611"/>
      <c r="AB36" s="611"/>
      <c r="AC36" s="611"/>
      <c r="AD36" s="611"/>
      <c r="AE36" s="611"/>
      <c r="AF36" s="611"/>
      <c r="AG36" s="611"/>
      <c r="AH36" s="611"/>
      <c r="AI36" s="611"/>
      <c r="AJ36" s="611"/>
      <c r="AK36" s="611"/>
    </row>
    <row r="37" spans="1:37">
      <c r="A37" s="962"/>
      <c r="B37" s="654" t="s">
        <v>524</v>
      </c>
      <c r="C37" s="611"/>
      <c r="D37" s="653" t="s">
        <v>523</v>
      </c>
      <c r="E37" s="652"/>
      <c r="F37" s="654" t="s">
        <v>524</v>
      </c>
      <c r="G37" s="611"/>
      <c r="H37" s="653" t="s">
        <v>523</v>
      </c>
      <c r="I37" s="622"/>
      <c r="J37" s="654" t="s">
        <v>524</v>
      </c>
      <c r="K37" s="611"/>
      <c r="L37" s="653" t="s">
        <v>523</v>
      </c>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row>
    <row r="38" spans="1:37">
      <c r="A38" s="962"/>
      <c r="B38" s="993" t="s">
        <v>522</v>
      </c>
      <c r="C38" s="994"/>
      <c r="D38" s="995"/>
      <c r="E38" s="652"/>
      <c r="F38" s="993" t="s">
        <v>522</v>
      </c>
      <c r="G38" s="994"/>
      <c r="H38" s="995"/>
      <c r="I38" s="622"/>
      <c r="J38" s="993" t="s">
        <v>522</v>
      </c>
      <c r="K38" s="994"/>
      <c r="L38" s="995"/>
      <c r="M38" s="642"/>
      <c r="N38" s="642"/>
      <c r="O38" s="642"/>
      <c r="P38" s="611"/>
      <c r="Q38" s="611"/>
      <c r="R38" s="611"/>
      <c r="S38" s="611"/>
      <c r="T38" s="611"/>
      <c r="U38" s="611"/>
      <c r="V38" s="611"/>
      <c r="W38" s="611"/>
      <c r="X38" s="611"/>
      <c r="Y38" s="611"/>
      <c r="Z38" s="611"/>
      <c r="AA38" s="611"/>
      <c r="AB38" s="611"/>
      <c r="AC38" s="611"/>
      <c r="AD38" s="611"/>
      <c r="AE38" s="611"/>
      <c r="AF38" s="611"/>
      <c r="AG38" s="611"/>
      <c r="AH38" s="611"/>
      <c r="AI38" s="611"/>
      <c r="AJ38" s="611"/>
      <c r="AK38" s="611"/>
    </row>
    <row r="39" spans="1:37">
      <c r="A39" s="963"/>
      <c r="B39" s="651"/>
      <c r="C39" s="650"/>
      <c r="D39" s="650"/>
      <c r="E39" s="652"/>
      <c r="F39" s="651"/>
      <c r="G39" s="650"/>
      <c r="H39" s="650"/>
      <c r="I39" s="622"/>
      <c r="J39" s="651"/>
      <c r="K39" s="650"/>
      <c r="L39" s="649"/>
      <c r="M39" s="642"/>
      <c r="N39" s="642"/>
      <c r="O39" s="642"/>
      <c r="P39" s="611"/>
      <c r="Q39" s="611"/>
      <c r="R39" s="611"/>
      <c r="S39" s="611"/>
      <c r="T39" s="611"/>
      <c r="U39" s="611"/>
      <c r="V39" s="611"/>
      <c r="W39" s="611"/>
      <c r="X39" s="611"/>
      <c r="Y39" s="611"/>
      <c r="Z39" s="611"/>
      <c r="AA39" s="611"/>
      <c r="AB39" s="611"/>
      <c r="AC39" s="611"/>
      <c r="AD39" s="611"/>
      <c r="AE39" s="611"/>
      <c r="AF39" s="611"/>
      <c r="AG39" s="611"/>
      <c r="AH39" s="611"/>
      <c r="AI39" s="611"/>
      <c r="AJ39" s="611"/>
      <c r="AK39" s="611"/>
    </row>
    <row r="40" spans="1:37">
      <c r="A40" s="645" t="s">
        <v>535</v>
      </c>
      <c r="B40" s="996" t="s">
        <v>520</v>
      </c>
      <c r="C40" s="997"/>
      <c r="D40" s="997"/>
      <c r="E40" s="997"/>
      <c r="F40" s="997"/>
      <c r="G40" s="997"/>
      <c r="H40" s="997"/>
      <c r="I40" s="997"/>
      <c r="J40" s="997"/>
      <c r="K40" s="997"/>
      <c r="L40" s="998"/>
      <c r="M40" s="642"/>
      <c r="N40" s="642"/>
      <c r="O40" s="642"/>
      <c r="P40" s="611"/>
      <c r="Q40" s="611"/>
      <c r="R40" s="611"/>
      <c r="S40" s="611"/>
      <c r="T40" s="611"/>
      <c r="U40" s="611"/>
      <c r="V40" s="611"/>
      <c r="W40" s="611"/>
      <c r="X40" s="611"/>
      <c r="Y40" s="611"/>
      <c r="Z40" s="611"/>
      <c r="AA40" s="611"/>
      <c r="AB40" s="611"/>
      <c r="AC40" s="611"/>
      <c r="AD40" s="611"/>
      <c r="AE40" s="611"/>
      <c r="AF40" s="611"/>
      <c r="AG40" s="611"/>
      <c r="AH40" s="611"/>
      <c r="AI40" s="611"/>
      <c r="AJ40" s="611"/>
      <c r="AK40" s="611"/>
    </row>
    <row r="41" spans="1:37">
      <c r="A41" s="961"/>
      <c r="B41" s="967" t="s">
        <v>519</v>
      </c>
      <c r="C41" s="968"/>
      <c r="D41" s="968"/>
      <c r="E41" s="968"/>
      <c r="F41" s="968"/>
      <c r="G41" s="968"/>
      <c r="H41" s="968"/>
      <c r="I41" s="968"/>
      <c r="J41" s="968"/>
      <c r="K41" s="968"/>
      <c r="L41" s="969"/>
      <c r="M41" s="642"/>
      <c r="N41" s="642"/>
      <c r="O41" s="642"/>
      <c r="P41" s="611"/>
      <c r="Q41" s="611"/>
      <c r="R41" s="611"/>
      <c r="S41" s="611"/>
      <c r="T41" s="611"/>
      <c r="U41" s="611"/>
      <c r="V41" s="611"/>
      <c r="W41" s="611"/>
      <c r="X41" s="611"/>
      <c r="Y41" s="611"/>
      <c r="Z41" s="611"/>
      <c r="AA41" s="611"/>
      <c r="AB41" s="611"/>
      <c r="AC41" s="611"/>
      <c r="AD41" s="611"/>
      <c r="AE41" s="611"/>
      <c r="AF41" s="611"/>
      <c r="AG41" s="611"/>
      <c r="AH41" s="611"/>
      <c r="AI41" s="611"/>
      <c r="AJ41" s="611"/>
      <c r="AK41" s="611"/>
    </row>
    <row r="42" spans="1:37">
      <c r="A42" s="962"/>
      <c r="B42" s="648" t="s">
        <v>128</v>
      </c>
      <c r="C42" s="647" t="s">
        <v>128</v>
      </c>
      <c r="D42" s="646" t="s">
        <v>128</v>
      </c>
      <c r="E42" s="642"/>
      <c r="F42" s="648" t="s">
        <v>128</v>
      </c>
      <c r="G42" s="647" t="s">
        <v>128</v>
      </c>
      <c r="H42" s="646" t="s">
        <v>128</v>
      </c>
      <c r="I42" s="642"/>
      <c r="J42" s="648" t="s">
        <v>128</v>
      </c>
      <c r="K42" s="647" t="s">
        <v>128</v>
      </c>
      <c r="L42" s="646" t="s">
        <v>128</v>
      </c>
      <c r="M42" s="642"/>
      <c r="N42" s="632" t="s">
        <v>255</v>
      </c>
      <c r="O42" s="642"/>
      <c r="P42" s="611"/>
      <c r="Q42" s="611"/>
      <c r="R42" s="611"/>
      <c r="S42" s="611"/>
      <c r="T42" s="611"/>
      <c r="U42" s="611"/>
      <c r="V42" s="611"/>
      <c r="W42" s="611"/>
      <c r="X42" s="611"/>
      <c r="Y42" s="611"/>
      <c r="Z42" s="611"/>
      <c r="AA42" s="611"/>
      <c r="AB42" s="611"/>
      <c r="AC42" s="611"/>
      <c r="AD42" s="611"/>
      <c r="AE42" s="611"/>
      <c r="AF42" s="611"/>
      <c r="AG42" s="611"/>
      <c r="AH42" s="611"/>
      <c r="AI42" s="611"/>
      <c r="AJ42" s="611"/>
      <c r="AK42" s="611"/>
    </row>
    <row r="43" spans="1:37">
      <c r="A43" s="962"/>
      <c r="B43" s="645" t="s">
        <v>96</v>
      </c>
      <c r="C43" s="645" t="s">
        <v>97</v>
      </c>
      <c r="D43" s="645" t="s">
        <v>98</v>
      </c>
      <c r="E43" s="644"/>
      <c r="F43" s="645" t="s">
        <v>96</v>
      </c>
      <c r="G43" s="645" t="s">
        <v>97</v>
      </c>
      <c r="H43" s="645" t="s">
        <v>98</v>
      </c>
      <c r="I43" s="644"/>
      <c r="J43" s="645" t="s">
        <v>96</v>
      </c>
      <c r="K43" s="645" t="s">
        <v>97</v>
      </c>
      <c r="L43" s="645" t="s">
        <v>98</v>
      </c>
      <c r="M43" s="642"/>
      <c r="N43" s="632" t="s">
        <v>256</v>
      </c>
      <c r="O43" s="642"/>
      <c r="P43" s="611"/>
      <c r="Q43" s="611"/>
      <c r="R43" s="611"/>
      <c r="S43" s="611"/>
      <c r="T43" s="611"/>
      <c r="U43" s="611"/>
      <c r="V43" s="611"/>
      <c r="W43" s="611"/>
      <c r="X43" s="611"/>
      <c r="Y43" s="611"/>
      <c r="Z43" s="611"/>
      <c r="AA43" s="611"/>
      <c r="AB43" s="611"/>
      <c r="AC43" s="611"/>
      <c r="AD43" s="611"/>
      <c r="AE43" s="611"/>
      <c r="AF43" s="611"/>
      <c r="AG43" s="611"/>
      <c r="AH43" s="611"/>
      <c r="AI43" s="611"/>
      <c r="AJ43" s="611"/>
      <c r="AK43" s="611"/>
    </row>
    <row r="44" spans="1:37">
      <c r="A44" s="962"/>
      <c r="B44" s="543">
        <v>0</v>
      </c>
      <c r="C44" s="543">
        <v>0</v>
      </c>
      <c r="D44" s="543">
        <v>0</v>
      </c>
      <c r="E44" s="644"/>
      <c r="F44" s="543">
        <v>0</v>
      </c>
      <c r="G44" s="543">
        <v>0</v>
      </c>
      <c r="H44" s="543">
        <v>0</v>
      </c>
      <c r="I44" s="643"/>
      <c r="J44" s="543">
        <v>0</v>
      </c>
      <c r="K44" s="543">
        <v>0</v>
      </c>
      <c r="L44" s="543">
        <v>0</v>
      </c>
      <c r="M44" s="642"/>
      <c r="N44" s="977" t="s">
        <v>254</v>
      </c>
      <c r="O44" s="642"/>
      <c r="P44" s="611"/>
      <c r="Q44" s="611"/>
      <c r="R44" s="611"/>
      <c r="S44" s="611"/>
      <c r="T44" s="611"/>
      <c r="U44" s="611"/>
      <c r="V44" s="611"/>
      <c r="W44" s="611"/>
      <c r="X44" s="611"/>
      <c r="Y44" s="611"/>
      <c r="Z44" s="611"/>
      <c r="AA44" s="611"/>
      <c r="AB44" s="611"/>
      <c r="AC44" s="611"/>
      <c r="AD44" s="611"/>
      <c r="AE44" s="611"/>
      <c r="AF44" s="611"/>
      <c r="AG44" s="611"/>
      <c r="AH44" s="611"/>
      <c r="AI44" s="611"/>
      <c r="AJ44" s="611"/>
      <c r="AK44" s="611"/>
    </row>
    <row r="45" spans="1:37">
      <c r="A45" s="963"/>
      <c r="B45" s="639"/>
      <c r="C45" s="638"/>
      <c r="D45" s="637"/>
      <c r="E45" s="644"/>
      <c r="F45" s="639"/>
      <c r="G45" s="638"/>
      <c r="H45" s="637"/>
      <c r="I45" s="643"/>
      <c r="J45" s="639"/>
      <c r="K45" s="638"/>
      <c r="L45" s="637"/>
      <c r="M45" s="642"/>
      <c r="N45" s="977"/>
      <c r="O45" s="642"/>
      <c r="P45" s="611"/>
      <c r="Q45" s="611"/>
      <c r="R45" s="611"/>
      <c r="S45" s="611"/>
      <c r="T45" s="611"/>
      <c r="U45" s="611"/>
      <c r="V45" s="611"/>
      <c r="W45" s="611"/>
      <c r="X45" s="611"/>
      <c r="Y45" s="611"/>
      <c r="Z45" s="611"/>
      <c r="AA45" s="611"/>
      <c r="AB45" s="611"/>
      <c r="AC45" s="611"/>
      <c r="AD45" s="611"/>
      <c r="AE45" s="611"/>
      <c r="AF45" s="611"/>
      <c r="AG45" s="611"/>
      <c r="AH45" s="611"/>
      <c r="AI45" s="611"/>
      <c r="AJ45" s="611"/>
      <c r="AK45" s="611"/>
    </row>
    <row r="46" spans="1:37">
      <c r="A46" s="544" t="s">
        <v>521</v>
      </c>
      <c r="B46" s="999" t="s">
        <v>517</v>
      </c>
      <c r="C46" s="1000"/>
      <c r="D46" s="1000"/>
      <c r="E46" s="1000"/>
      <c r="F46" s="1000"/>
      <c r="G46" s="1000"/>
      <c r="H46" s="1000"/>
      <c r="I46" s="1000"/>
      <c r="J46" s="1000"/>
      <c r="K46" s="1000"/>
      <c r="L46" s="1001"/>
      <c r="M46" s="611"/>
      <c r="N46" s="611"/>
      <c r="O46" s="611"/>
      <c r="P46" s="641" t="s">
        <v>938</v>
      </c>
      <c r="Q46" s="611"/>
      <c r="R46" s="611"/>
      <c r="S46" s="611"/>
      <c r="T46" s="611"/>
      <c r="U46" s="611"/>
      <c r="V46" s="611"/>
      <c r="W46" s="611"/>
      <c r="X46" s="611"/>
      <c r="Y46" s="611"/>
      <c r="Z46" s="611"/>
      <c r="AA46" s="611"/>
      <c r="AB46" s="611"/>
      <c r="AC46" s="611"/>
      <c r="AD46" s="611"/>
      <c r="AE46" s="611"/>
      <c r="AF46" s="611"/>
      <c r="AG46" s="611"/>
      <c r="AH46" s="611"/>
      <c r="AI46" s="611"/>
      <c r="AJ46" s="611"/>
      <c r="AK46" s="611"/>
    </row>
    <row r="47" spans="1:37" ht="18" customHeight="1">
      <c r="A47" s="961"/>
      <c r="B47" s="967" t="s">
        <v>516</v>
      </c>
      <c r="C47" s="968"/>
      <c r="D47" s="968"/>
      <c r="E47" s="968"/>
      <c r="F47" s="968"/>
      <c r="G47" s="968"/>
      <c r="H47" s="968"/>
      <c r="I47" s="968"/>
      <c r="J47" s="968"/>
      <c r="K47" s="968"/>
      <c r="L47" s="969"/>
      <c r="M47" s="611"/>
      <c r="N47" s="611"/>
      <c r="O47" s="611"/>
      <c r="P47" s="630"/>
      <c r="Q47" s="611"/>
      <c r="R47" s="611"/>
      <c r="S47" s="611"/>
      <c r="T47" s="611"/>
      <c r="U47" s="611"/>
      <c r="V47" s="611"/>
      <c r="W47" s="611"/>
      <c r="X47" s="611"/>
      <c r="Y47" s="611"/>
      <c r="Z47" s="611"/>
      <c r="AA47" s="611"/>
      <c r="AB47" s="611"/>
      <c r="AC47" s="611"/>
      <c r="AD47" s="611"/>
      <c r="AE47" s="611"/>
      <c r="AF47" s="611"/>
      <c r="AG47" s="611"/>
      <c r="AH47" s="611"/>
      <c r="AI47" s="611"/>
      <c r="AJ47" s="611"/>
      <c r="AK47" s="611"/>
    </row>
    <row r="48" spans="1:37">
      <c r="A48" s="962"/>
      <c r="B48" s="1002" t="s">
        <v>515</v>
      </c>
      <c r="C48" s="1003"/>
      <c r="D48" s="544" t="s">
        <v>96</v>
      </c>
      <c r="E48" s="624"/>
      <c r="F48" s="1002" t="s">
        <v>515</v>
      </c>
      <c r="G48" s="1003"/>
      <c r="H48" s="544" t="s">
        <v>96</v>
      </c>
      <c r="I48" s="624"/>
      <c r="J48" s="1002" t="s">
        <v>515</v>
      </c>
      <c r="K48" s="1003"/>
      <c r="L48" s="544" t="s">
        <v>96</v>
      </c>
      <c r="M48" s="611"/>
      <c r="N48" s="632"/>
      <c r="O48" s="632"/>
      <c r="P48" s="611"/>
      <c r="Q48" s="630"/>
      <c r="R48" s="630"/>
      <c r="S48" s="630"/>
      <c r="T48" s="611"/>
      <c r="U48" s="611"/>
      <c r="V48" s="611"/>
      <c r="W48" s="611"/>
      <c r="X48" s="611"/>
      <c r="Y48" s="611"/>
      <c r="Z48" s="611"/>
      <c r="AA48" s="611"/>
      <c r="AB48" s="611"/>
      <c r="AC48" s="611"/>
      <c r="AD48" s="611"/>
      <c r="AE48" s="611"/>
      <c r="AF48" s="611"/>
      <c r="AG48" s="611"/>
      <c r="AH48" s="611"/>
      <c r="AI48" s="611"/>
      <c r="AJ48" s="611"/>
      <c r="AK48" s="611"/>
    </row>
    <row r="49" spans="1:37">
      <c r="A49" s="962"/>
      <c r="B49" s="1004" t="s">
        <v>514</v>
      </c>
      <c r="C49" s="1005"/>
      <c r="D49" s="543">
        <f>VLOOKUP(B49,'Manure and Nutrient Credits'!$A$3:$B$16,2,FALSE)</f>
        <v>0</v>
      </c>
      <c r="E49" s="621"/>
      <c r="F49" s="1004" t="s">
        <v>514</v>
      </c>
      <c r="G49" s="1005"/>
      <c r="H49" s="543">
        <f>VLOOKUP(F49,'Manure and Nutrient Credits'!$A$3:$B$16,2,FALSE)</f>
        <v>0</v>
      </c>
      <c r="I49" s="640"/>
      <c r="J49" s="1004" t="s">
        <v>514</v>
      </c>
      <c r="K49" s="1005"/>
      <c r="L49" s="543">
        <f>VLOOKUP(J49,'Manure and Nutrient Credits'!$A$3:$B$16,2,FALSE)</f>
        <v>0</v>
      </c>
      <c r="M49" s="611"/>
      <c r="N49" s="633"/>
      <c r="O49" s="633"/>
      <c r="P49" s="611"/>
      <c r="Q49" s="611"/>
      <c r="R49" s="611"/>
      <c r="S49" s="611"/>
      <c r="T49" s="611"/>
      <c r="U49" s="611"/>
      <c r="V49" s="611"/>
      <c r="W49" s="611"/>
      <c r="X49" s="611"/>
      <c r="Y49" s="611"/>
      <c r="Z49" s="611"/>
      <c r="AA49" s="611"/>
      <c r="AB49" s="611"/>
      <c r="AC49" s="611"/>
      <c r="AD49" s="611"/>
      <c r="AE49" s="611"/>
      <c r="AF49" s="611"/>
      <c r="AG49" s="611"/>
      <c r="AH49" s="611"/>
      <c r="AI49" s="611"/>
      <c r="AJ49" s="611"/>
      <c r="AK49" s="611"/>
    </row>
    <row r="50" spans="1:37">
      <c r="A50" s="963"/>
      <c r="B50" s="639"/>
      <c r="C50" s="638"/>
      <c r="D50" s="637"/>
      <c r="E50" s="621"/>
      <c r="F50" s="639"/>
      <c r="G50" s="638"/>
      <c r="H50" s="637"/>
      <c r="I50" s="640"/>
      <c r="J50" s="639"/>
      <c r="K50" s="638"/>
      <c r="L50" s="637"/>
      <c r="M50" s="611"/>
      <c r="N50" s="633"/>
      <c r="O50" s="633"/>
      <c r="P50" s="611"/>
      <c r="Q50" s="611"/>
      <c r="R50" s="611"/>
      <c r="S50" s="611"/>
      <c r="T50" s="611"/>
      <c r="U50" s="611"/>
      <c r="V50" s="611"/>
      <c r="W50" s="611"/>
      <c r="X50" s="611"/>
      <c r="Y50" s="611"/>
      <c r="Z50" s="611"/>
      <c r="AA50" s="611"/>
      <c r="AB50" s="611"/>
      <c r="AC50" s="611"/>
      <c r="AD50" s="611"/>
      <c r="AE50" s="611"/>
      <c r="AF50" s="611"/>
      <c r="AG50" s="611"/>
      <c r="AH50" s="611"/>
      <c r="AI50" s="611"/>
      <c r="AJ50" s="611"/>
      <c r="AK50" s="611"/>
    </row>
    <row r="51" spans="1:37" ht="18" customHeight="1">
      <c r="A51" s="626" t="s">
        <v>518</v>
      </c>
      <c r="B51" s="1006" t="s">
        <v>513</v>
      </c>
      <c r="C51" s="1007"/>
      <c r="D51" s="1007"/>
      <c r="E51" s="1007"/>
      <c r="F51" s="1007"/>
      <c r="G51" s="1007"/>
      <c r="H51" s="1007"/>
      <c r="I51" s="1007"/>
      <c r="J51" s="1007"/>
      <c r="K51" s="1007"/>
      <c r="L51" s="1008"/>
      <c r="M51" s="611"/>
      <c r="N51" s="632"/>
      <c r="O51" s="632"/>
      <c r="P51" s="611"/>
      <c r="Q51" s="611"/>
      <c r="R51" s="611"/>
      <c r="S51" s="611"/>
      <c r="T51" s="611"/>
      <c r="U51" s="611"/>
      <c r="V51" s="611"/>
      <c r="W51" s="611"/>
      <c r="X51" s="611"/>
      <c r="Y51" s="611"/>
      <c r="Z51" s="611"/>
      <c r="AA51" s="611"/>
      <c r="AB51" s="611"/>
      <c r="AC51" s="611"/>
      <c r="AD51" s="611"/>
      <c r="AE51" s="611"/>
      <c r="AF51" s="611"/>
      <c r="AG51" s="611"/>
      <c r="AH51" s="611"/>
      <c r="AI51" s="611"/>
      <c r="AJ51" s="611"/>
      <c r="AK51" s="611"/>
    </row>
    <row r="52" spans="1:37" ht="18" customHeight="1">
      <c r="A52" s="1009"/>
      <c r="B52" s="967" t="s">
        <v>512</v>
      </c>
      <c r="C52" s="968"/>
      <c r="D52" s="968"/>
      <c r="E52" s="968"/>
      <c r="F52" s="968"/>
      <c r="G52" s="968"/>
      <c r="H52" s="968"/>
      <c r="I52" s="968"/>
      <c r="J52" s="968"/>
      <c r="K52" s="968"/>
      <c r="L52" s="969"/>
      <c r="M52" s="611"/>
      <c r="N52" s="632"/>
      <c r="O52" s="632"/>
      <c r="P52" s="611"/>
      <c r="Q52" s="611"/>
      <c r="R52" s="611"/>
      <c r="S52" s="611"/>
      <c r="T52" s="611"/>
      <c r="U52" s="611"/>
      <c r="V52" s="611"/>
      <c r="W52" s="611"/>
      <c r="X52" s="611"/>
      <c r="Y52" s="611"/>
      <c r="Z52" s="611"/>
      <c r="AA52" s="611"/>
      <c r="AB52" s="611"/>
      <c r="AC52" s="611"/>
      <c r="AD52" s="611"/>
      <c r="AE52" s="611"/>
      <c r="AF52" s="611"/>
      <c r="AG52" s="611"/>
      <c r="AH52" s="611"/>
      <c r="AI52" s="611"/>
      <c r="AJ52" s="611"/>
      <c r="AK52" s="611"/>
    </row>
    <row r="53" spans="1:37">
      <c r="A53" s="1010"/>
      <c r="B53" s="622"/>
      <c r="C53" s="611"/>
      <c r="D53" s="636"/>
      <c r="E53" s="611"/>
      <c r="F53" s="622"/>
      <c r="G53" s="611"/>
      <c r="H53" s="636"/>
      <c r="I53" s="611"/>
      <c r="J53" s="622"/>
      <c r="K53" s="611"/>
      <c r="L53" s="636"/>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row>
    <row r="54" spans="1:37">
      <c r="A54" s="441"/>
      <c r="B54" s="1015" t="s">
        <v>511</v>
      </c>
      <c r="C54" s="1016"/>
      <c r="D54" s="1017"/>
      <c r="E54" s="611"/>
      <c r="F54" s="1015" t="s">
        <v>511</v>
      </c>
      <c r="G54" s="1016"/>
      <c r="H54" s="1017"/>
      <c r="I54" s="611"/>
      <c r="J54" s="1015" t="s">
        <v>511</v>
      </c>
      <c r="K54" s="1016"/>
      <c r="L54" s="1017"/>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row>
    <row r="55" spans="1:37">
      <c r="A55" s="635"/>
      <c r="B55" s="631" t="s">
        <v>96</v>
      </c>
      <c r="C55" s="631" t="s">
        <v>97</v>
      </c>
      <c r="D55" s="631" t="s">
        <v>98</v>
      </c>
      <c r="E55" s="624"/>
      <c r="F55" s="626" t="s">
        <v>96</v>
      </c>
      <c r="G55" s="626" t="s">
        <v>97</v>
      </c>
      <c r="H55" s="626" t="s">
        <v>98</v>
      </c>
      <c r="I55" s="624"/>
      <c r="J55" s="626" t="s">
        <v>96</v>
      </c>
      <c r="K55" s="626" t="s">
        <v>97</v>
      </c>
      <c r="L55" s="626" t="s">
        <v>98</v>
      </c>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row>
    <row r="56" spans="1:37" ht="18" hidden="1" customHeight="1">
      <c r="A56" s="611"/>
      <c r="B56" s="471">
        <f>B12-(B34*'Manure and Nutrient Credits'!$D$27)-B44-D49</f>
        <v>0</v>
      </c>
      <c r="C56" s="471">
        <f>C12-(C34*'Manure and Nutrient Credits'!$D$27)-C44</f>
        <v>0</v>
      </c>
      <c r="D56" s="471">
        <f>D12-(D34*'Manure and Nutrient Credits'!$D$27)-D44</f>
        <v>0</v>
      </c>
      <c r="E56" s="624"/>
      <c r="F56" s="471">
        <f>F12-(F34*'Manure and Nutrient Credits'!$D$30)-F44-H49</f>
        <v>0</v>
      </c>
      <c r="G56" s="471">
        <f>G12-(G34*'Manure and Nutrient Credits'!$D$30)-G44</f>
        <v>0</v>
      </c>
      <c r="H56" s="471">
        <f>H12-(H34*'Manure and Nutrient Credits'!$D$30)-H44</f>
        <v>0</v>
      </c>
      <c r="I56" s="624"/>
      <c r="J56" s="471">
        <f>J12-(J34*'Manure and Nutrient Credits'!$D$33)-J44-L49</f>
        <v>0</v>
      </c>
      <c r="K56" s="471">
        <f>K12-(K34*'Manure and Nutrient Credits'!$D$33)-K44</f>
        <v>0</v>
      </c>
      <c r="L56" s="471">
        <f>L12-(L34*'Manure and Nutrient Credits'!$D$33)-L44</f>
        <v>0</v>
      </c>
      <c r="M56" s="611"/>
      <c r="N56" s="633"/>
      <c r="O56" s="633"/>
      <c r="P56" s="611"/>
      <c r="Q56" s="632"/>
      <c r="R56" s="611"/>
      <c r="S56" s="611"/>
      <c r="T56" s="611"/>
      <c r="U56" s="611"/>
      <c r="V56" s="611"/>
      <c r="W56" s="611"/>
      <c r="X56" s="611"/>
      <c r="Y56" s="611"/>
      <c r="Z56" s="611"/>
      <c r="AA56" s="611"/>
      <c r="AB56" s="611"/>
      <c r="AC56" s="611"/>
      <c r="AD56" s="611"/>
      <c r="AE56" s="611"/>
      <c r="AF56" s="611"/>
      <c r="AG56" s="611"/>
      <c r="AH56" s="611"/>
      <c r="AI56" s="611"/>
      <c r="AJ56" s="611"/>
      <c r="AK56" s="611"/>
    </row>
    <row r="57" spans="1:37">
      <c r="A57" s="611"/>
      <c r="B57" s="627">
        <f>MAX(0,B56)</f>
        <v>0</v>
      </c>
      <c r="C57" s="627">
        <f>MAX(0,C56)</f>
        <v>0</v>
      </c>
      <c r="D57" s="627">
        <f>MAX(0,D56)</f>
        <v>0</v>
      </c>
      <c r="E57" s="624"/>
      <c r="F57" s="627">
        <f>MAX(0,F56)</f>
        <v>0</v>
      </c>
      <c r="G57" s="627">
        <f>MAX(0,G56)</f>
        <v>0</v>
      </c>
      <c r="H57" s="627">
        <f>MAX(0,H56)</f>
        <v>0</v>
      </c>
      <c r="I57" s="624"/>
      <c r="J57" s="627">
        <f>MAX(0,J56)</f>
        <v>0</v>
      </c>
      <c r="K57" s="627">
        <f>MAX(0,K56)</f>
        <v>0</v>
      </c>
      <c r="L57" s="627">
        <f>MAX(0,L56)</f>
        <v>0</v>
      </c>
      <c r="M57" s="611"/>
      <c r="N57" s="633"/>
      <c r="O57" s="633"/>
      <c r="P57" s="611"/>
      <c r="Q57" s="632"/>
      <c r="R57" s="611"/>
      <c r="S57" s="611"/>
      <c r="T57" s="611"/>
      <c r="U57" s="611"/>
      <c r="V57" s="611"/>
      <c r="W57" s="611"/>
      <c r="X57" s="611"/>
      <c r="Y57" s="611"/>
      <c r="Z57" s="611"/>
      <c r="AA57" s="611"/>
      <c r="AB57" s="611"/>
      <c r="AC57" s="611"/>
      <c r="AD57" s="611"/>
      <c r="AE57" s="611"/>
      <c r="AF57" s="611"/>
      <c r="AG57" s="611"/>
      <c r="AH57" s="611"/>
      <c r="AI57" s="611"/>
      <c r="AJ57" s="611"/>
      <c r="AK57" s="611"/>
    </row>
    <row r="58" spans="1:37">
      <c r="A58" s="611"/>
      <c r="B58" s="626" t="s">
        <v>99</v>
      </c>
      <c r="C58" s="629" t="s">
        <v>100</v>
      </c>
      <c r="D58" s="628" t="s">
        <v>170</v>
      </c>
      <c r="E58" s="624"/>
      <c r="F58" s="626" t="s">
        <v>99</v>
      </c>
      <c r="G58" s="629" t="s">
        <v>100</v>
      </c>
      <c r="H58" s="628" t="s">
        <v>170</v>
      </c>
      <c r="I58" s="624"/>
      <c r="J58" s="626" t="s">
        <v>99</v>
      </c>
      <c r="K58" s="629" t="s">
        <v>100</v>
      </c>
      <c r="L58" s="628" t="s">
        <v>170</v>
      </c>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row>
    <row r="59" spans="1:37" ht="18" hidden="1" customHeight="1">
      <c r="A59" s="611"/>
      <c r="B59" s="471">
        <f>B14-(B36*'Manure and Nutrient Credits'!$D$27)</f>
        <v>0</v>
      </c>
      <c r="C59" s="471">
        <f>C14</f>
        <v>0</v>
      </c>
      <c r="D59" s="471">
        <f>D14</f>
        <v>0</v>
      </c>
      <c r="E59" s="624"/>
      <c r="F59" s="471">
        <f>F14-(F36*'Manure and Nutrient Credits'!$D$30)</f>
        <v>0</v>
      </c>
      <c r="G59" s="471">
        <f>G14</f>
        <v>0</v>
      </c>
      <c r="H59" s="471">
        <f>H14</f>
        <v>0</v>
      </c>
      <c r="I59" s="624"/>
      <c r="J59" s="471">
        <f>J14-(J36*'Manure and Nutrient Credits'!$D$33)</f>
        <v>0</v>
      </c>
      <c r="K59" s="471">
        <f>K14</f>
        <v>0</v>
      </c>
      <c r="L59" s="471">
        <f>L14</f>
        <v>0</v>
      </c>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row>
    <row r="60" spans="1:37">
      <c r="A60" s="611"/>
      <c r="B60" s="627">
        <f>MAX(0,B59)</f>
        <v>0</v>
      </c>
      <c r="C60" s="627">
        <f>MAX(0,C59)</f>
        <v>0</v>
      </c>
      <c r="D60" s="627">
        <f>MAX(0,D59)</f>
        <v>0</v>
      </c>
      <c r="E60" s="624"/>
      <c r="F60" s="627">
        <f>MAX(0,F59)</f>
        <v>0</v>
      </c>
      <c r="G60" s="627">
        <f>MAX(0,G59)</f>
        <v>0</v>
      </c>
      <c r="H60" s="627">
        <f>MAX(0,H59)</f>
        <v>0</v>
      </c>
      <c r="I60" s="624"/>
      <c r="J60" s="627">
        <f>MAX(0,J59)</f>
        <v>0</v>
      </c>
      <c r="K60" s="627">
        <f>MAX(0,K59)</f>
        <v>0</v>
      </c>
      <c r="L60" s="627">
        <f>MAX(0,L59)</f>
        <v>0</v>
      </c>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row>
    <row r="61" spans="1:37" ht="18" customHeight="1">
      <c r="A61" s="611"/>
      <c r="B61" s="626" t="s">
        <v>102</v>
      </c>
      <c r="C61" s="626" t="s">
        <v>103</v>
      </c>
      <c r="D61" s="626" t="s">
        <v>104</v>
      </c>
      <c r="E61" s="624"/>
      <c r="F61" s="626" t="s">
        <v>102</v>
      </c>
      <c r="G61" s="626" t="s">
        <v>103</v>
      </c>
      <c r="H61" s="626" t="s">
        <v>104</v>
      </c>
      <c r="I61" s="624"/>
      <c r="J61" s="626" t="s">
        <v>102</v>
      </c>
      <c r="K61" s="626" t="s">
        <v>103</v>
      </c>
      <c r="L61" s="626" t="s">
        <v>104</v>
      </c>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1"/>
    </row>
    <row r="62" spans="1:37" ht="18" customHeight="1">
      <c r="A62" s="611"/>
      <c r="B62" s="471">
        <f>B16</f>
        <v>0</v>
      </c>
      <c r="C62" s="471">
        <f t="shared" ref="C62:L62" si="0">C16</f>
        <v>0</v>
      </c>
      <c r="D62" s="471">
        <f t="shared" si="0"/>
        <v>0</v>
      </c>
      <c r="E62" s="735"/>
      <c r="F62" s="471">
        <f t="shared" si="0"/>
        <v>0</v>
      </c>
      <c r="G62" s="471">
        <f t="shared" si="0"/>
        <v>0</v>
      </c>
      <c r="H62" s="471">
        <f t="shared" si="0"/>
        <v>0</v>
      </c>
      <c r="I62" s="735"/>
      <c r="J62" s="471">
        <f t="shared" si="0"/>
        <v>0</v>
      </c>
      <c r="K62" s="471">
        <f t="shared" si="0"/>
        <v>0</v>
      </c>
      <c r="L62" s="471">
        <f t="shared" si="0"/>
        <v>0</v>
      </c>
      <c r="M62" s="611"/>
      <c r="N62" s="611"/>
      <c r="O62" s="611"/>
      <c r="P62" s="611"/>
      <c r="Q62" s="611"/>
      <c r="R62" s="611"/>
      <c r="S62" s="611"/>
      <c r="T62" s="611"/>
      <c r="U62" s="611"/>
      <c r="V62" s="611"/>
      <c r="W62" s="611"/>
      <c r="X62" s="611"/>
      <c r="Y62" s="611"/>
      <c r="Z62" s="611"/>
      <c r="AA62" s="611"/>
      <c r="AB62" s="611"/>
      <c r="AC62" s="611"/>
      <c r="AD62" s="611"/>
      <c r="AE62" s="611"/>
      <c r="AF62" s="611"/>
      <c r="AG62" s="611"/>
      <c r="AH62" s="611"/>
      <c r="AI62" s="611"/>
      <c r="AJ62" s="611"/>
      <c r="AK62" s="611"/>
    </row>
    <row r="63" spans="1:37" ht="18" customHeight="1">
      <c r="A63" s="611"/>
      <c r="B63" s="626" t="s">
        <v>886</v>
      </c>
      <c r="C63" s="626" t="s">
        <v>887</v>
      </c>
      <c r="D63" s="626" t="s">
        <v>888</v>
      </c>
      <c r="E63" s="624"/>
      <c r="F63" s="626" t="s">
        <v>886</v>
      </c>
      <c r="G63" s="626" t="s">
        <v>887</v>
      </c>
      <c r="H63" s="626" t="s">
        <v>888</v>
      </c>
      <c r="I63" s="624"/>
      <c r="J63" s="626" t="s">
        <v>886</v>
      </c>
      <c r="K63" s="626" t="s">
        <v>887</v>
      </c>
      <c r="L63" s="626" t="s">
        <v>888</v>
      </c>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row>
    <row r="64" spans="1:37" ht="18" customHeight="1">
      <c r="A64" s="611"/>
      <c r="B64" s="471">
        <f>B18</f>
        <v>0</v>
      </c>
      <c r="C64" s="471">
        <f t="shared" ref="C64:L64" si="1">C18</f>
        <v>0</v>
      </c>
      <c r="D64" s="471">
        <f t="shared" si="1"/>
        <v>0</v>
      </c>
      <c r="E64" s="735"/>
      <c r="F64" s="471">
        <f t="shared" si="1"/>
        <v>0</v>
      </c>
      <c r="G64" s="471">
        <f t="shared" si="1"/>
        <v>0</v>
      </c>
      <c r="H64" s="471">
        <f t="shared" si="1"/>
        <v>0</v>
      </c>
      <c r="I64" s="735"/>
      <c r="J64" s="471">
        <f t="shared" si="1"/>
        <v>0</v>
      </c>
      <c r="K64" s="471">
        <f t="shared" si="1"/>
        <v>0</v>
      </c>
      <c r="L64" s="471">
        <f t="shared" si="1"/>
        <v>0</v>
      </c>
      <c r="M64" s="611"/>
      <c r="N64" s="611"/>
      <c r="O64" s="611"/>
      <c r="P64" s="611"/>
      <c r="Q64" s="611"/>
      <c r="R64" s="611"/>
      <c r="S64" s="611"/>
      <c r="T64" s="611"/>
      <c r="U64" s="611"/>
      <c r="V64" s="611"/>
      <c r="W64" s="611"/>
      <c r="X64" s="611"/>
      <c r="Y64" s="611"/>
      <c r="Z64" s="611"/>
      <c r="AA64" s="611"/>
      <c r="AB64" s="611"/>
      <c r="AC64" s="611"/>
      <c r="AD64" s="611"/>
      <c r="AE64" s="611"/>
      <c r="AF64" s="611"/>
      <c r="AG64" s="611"/>
      <c r="AH64" s="611"/>
      <c r="AI64" s="611"/>
      <c r="AJ64" s="611"/>
      <c r="AK64" s="611"/>
    </row>
    <row r="65" spans="1:37">
      <c r="A65" s="1018"/>
      <c r="B65" s="625"/>
      <c r="C65" s="617"/>
      <c r="D65" s="617"/>
      <c r="E65" s="624"/>
      <c r="F65" s="617"/>
      <c r="G65" s="617"/>
      <c r="H65" s="617"/>
      <c r="I65" s="624"/>
      <c r="J65" s="617"/>
      <c r="K65" s="617"/>
      <c r="L65" s="623"/>
      <c r="M65" s="611"/>
      <c r="N65" s="611"/>
      <c r="O65" s="611"/>
      <c r="P65" s="611"/>
      <c r="Q65" s="611"/>
      <c r="R65" s="611"/>
      <c r="S65" s="611"/>
      <c r="T65" s="611"/>
      <c r="U65" s="611"/>
      <c r="V65" s="611"/>
      <c r="W65" s="611"/>
      <c r="X65" s="611"/>
      <c r="Y65" s="611"/>
      <c r="Z65" s="611"/>
      <c r="AA65" s="611"/>
      <c r="AB65" s="611"/>
      <c r="AC65" s="611"/>
      <c r="AD65" s="611"/>
      <c r="AE65" s="611"/>
      <c r="AF65" s="611"/>
      <c r="AG65" s="611"/>
      <c r="AH65" s="611"/>
      <c r="AI65" s="611"/>
      <c r="AJ65" s="611"/>
      <c r="AK65" s="611"/>
    </row>
    <row r="66" spans="1:37" hidden="1">
      <c r="A66" s="1018"/>
      <c r="B66" s="1015" t="s">
        <v>510</v>
      </c>
      <c r="C66" s="1016"/>
      <c r="D66" s="1017"/>
      <c r="E66" s="611"/>
      <c r="F66" s="1015" t="s">
        <v>510</v>
      </c>
      <c r="G66" s="1016"/>
      <c r="H66" s="1017"/>
      <c r="I66" s="611"/>
      <c r="J66" s="1015" t="s">
        <v>510</v>
      </c>
      <c r="K66" s="1016"/>
      <c r="L66" s="1017"/>
      <c r="M66" s="611"/>
      <c r="N66" s="611"/>
      <c r="O66" s="611"/>
      <c r="P66" s="611"/>
      <c r="Q66" s="611"/>
      <c r="R66" s="611"/>
      <c r="S66" s="611"/>
      <c r="T66" s="611"/>
      <c r="U66" s="611"/>
      <c r="V66" s="611"/>
      <c r="W66" s="611"/>
      <c r="X66" s="611"/>
      <c r="Y66" s="611"/>
      <c r="Z66" s="611"/>
      <c r="AA66" s="611"/>
      <c r="AB66" s="611"/>
      <c r="AC66" s="611"/>
      <c r="AD66" s="611"/>
      <c r="AE66" s="611"/>
      <c r="AF66" s="611"/>
      <c r="AG66" s="611"/>
      <c r="AH66" s="611"/>
      <c r="AI66" s="611"/>
      <c r="AJ66" s="611"/>
      <c r="AK66" s="611"/>
    </row>
    <row r="67" spans="1:37" hidden="1">
      <c r="A67" s="611"/>
      <c r="B67" s="631" t="s">
        <v>96</v>
      </c>
      <c r="C67" s="631" t="s">
        <v>97</v>
      </c>
      <c r="D67" s="631" t="s">
        <v>98</v>
      </c>
      <c r="E67" s="624"/>
      <c r="F67" s="626" t="s">
        <v>96</v>
      </c>
      <c r="G67" s="626" t="s">
        <v>97</v>
      </c>
      <c r="H67" s="626" t="s">
        <v>98</v>
      </c>
      <c r="I67" s="624"/>
      <c r="J67" s="626" t="s">
        <v>96</v>
      </c>
      <c r="K67" s="626" t="s">
        <v>97</v>
      </c>
      <c r="L67" s="626" t="s">
        <v>98</v>
      </c>
      <c r="M67" s="611"/>
      <c r="N67" s="611"/>
      <c r="O67" s="611"/>
      <c r="P67" s="611"/>
      <c r="Q67" s="611"/>
      <c r="R67" s="611"/>
      <c r="S67" s="611"/>
      <c r="T67" s="611"/>
      <c r="U67" s="611"/>
      <c r="V67" s="611"/>
      <c r="W67" s="611"/>
      <c r="X67" s="611"/>
      <c r="Y67" s="611"/>
      <c r="Z67" s="611"/>
      <c r="AA67" s="611"/>
      <c r="AB67" s="611"/>
      <c r="AC67" s="611"/>
      <c r="AD67" s="611"/>
      <c r="AE67" s="611"/>
      <c r="AF67" s="611"/>
      <c r="AG67" s="611"/>
      <c r="AH67" s="611"/>
      <c r="AI67" s="611"/>
      <c r="AJ67" s="611"/>
      <c r="AK67" s="611"/>
    </row>
    <row r="68" spans="1:37" hidden="1">
      <c r="A68" s="611"/>
      <c r="B68" s="471">
        <f>B25-(B34*'Manure and Nutrient Credits'!$D$27)-B44-D49</f>
        <v>0</v>
      </c>
      <c r="C68" s="471">
        <f>C25-(C34*'Manure and Nutrient Credits'!$D$27)-C44</f>
        <v>0</v>
      </c>
      <c r="D68" s="471">
        <f>D25-(D34*'Manure and Nutrient Credits'!$D$27)-D44</f>
        <v>0</v>
      </c>
      <c r="E68" s="624"/>
      <c r="F68" s="471">
        <f>F25-(F34*'Manure and Nutrient Credits'!$D$30)-F44-H49</f>
        <v>0</v>
      </c>
      <c r="G68" s="471">
        <f>G25-(G34*'Manure and Nutrient Credits'!$D$30)-G44</f>
        <v>0</v>
      </c>
      <c r="H68" s="471">
        <f>H25-(H34*'Manure and Nutrient Credits'!$D$30)-H44</f>
        <v>0</v>
      </c>
      <c r="I68" s="624"/>
      <c r="J68" s="471">
        <f>J25-(J34*'Manure and Nutrient Credits'!$D$33)-J44-L49</f>
        <v>0</v>
      </c>
      <c r="K68" s="471">
        <f>K25-(K34*'Manure and Nutrient Credits'!$D$33)-K44</f>
        <v>0</v>
      </c>
      <c r="L68" s="471">
        <f>L25-(L34*'Manure and Nutrient Credits'!$D$33)-L44</f>
        <v>0</v>
      </c>
      <c r="M68" s="611"/>
      <c r="N68" s="611"/>
      <c r="O68" s="611"/>
      <c r="P68" s="611"/>
      <c r="Q68" s="611"/>
      <c r="R68" s="611"/>
      <c r="S68" s="611"/>
      <c r="T68" s="611"/>
      <c r="U68" s="611"/>
      <c r="V68" s="611"/>
      <c r="W68" s="611"/>
      <c r="X68" s="611"/>
      <c r="Y68" s="611"/>
      <c r="Z68" s="611"/>
      <c r="AA68" s="611"/>
      <c r="AB68" s="611"/>
      <c r="AC68" s="611"/>
      <c r="AD68" s="611"/>
      <c r="AE68" s="611"/>
      <c r="AF68" s="611"/>
      <c r="AG68" s="611"/>
      <c r="AH68" s="611"/>
      <c r="AI68" s="611"/>
      <c r="AJ68" s="611"/>
      <c r="AK68" s="611"/>
    </row>
    <row r="69" spans="1:37" hidden="1">
      <c r="A69" s="611"/>
      <c r="B69" s="471">
        <f>MAX(0,B87)</f>
        <v>0</v>
      </c>
      <c r="C69" s="471">
        <f>MAX(0,C87)</f>
        <v>0</v>
      </c>
      <c r="D69" s="471">
        <f>MAX(0,D87)</f>
        <v>0</v>
      </c>
      <c r="E69" s="624"/>
      <c r="F69" s="471">
        <f>MAX(0,F87)</f>
        <v>0</v>
      </c>
      <c r="G69" s="471">
        <f>MAX(0,G87)</f>
        <v>0</v>
      </c>
      <c r="H69" s="471">
        <f>MAX(0,H87)</f>
        <v>0</v>
      </c>
      <c r="I69" s="624"/>
      <c r="J69" s="471">
        <f>MAX(0,J87)</f>
        <v>0</v>
      </c>
      <c r="K69" s="471">
        <f>MAX(0,K87)</f>
        <v>0</v>
      </c>
      <c r="L69" s="471">
        <f>MAX(0,L87)</f>
        <v>0</v>
      </c>
      <c r="M69" s="611"/>
      <c r="N69" s="611"/>
      <c r="O69" s="611"/>
      <c r="P69" s="630"/>
      <c r="Q69" s="611"/>
      <c r="R69" s="611"/>
      <c r="S69" s="611"/>
      <c r="T69" s="611"/>
      <c r="U69" s="611"/>
      <c r="V69" s="611"/>
      <c r="W69" s="611"/>
      <c r="X69" s="611"/>
      <c r="Y69" s="611"/>
      <c r="Z69" s="611"/>
      <c r="AA69" s="611"/>
      <c r="AB69" s="611"/>
      <c r="AC69" s="611"/>
      <c r="AD69" s="611"/>
      <c r="AE69" s="611"/>
      <c r="AF69" s="611"/>
      <c r="AG69" s="611"/>
      <c r="AH69" s="611"/>
      <c r="AI69" s="611"/>
      <c r="AJ69" s="611"/>
      <c r="AK69" s="611"/>
    </row>
    <row r="70" spans="1:37" hidden="1">
      <c r="A70" s="611"/>
      <c r="B70" s="626" t="s">
        <v>99</v>
      </c>
      <c r="C70" s="629" t="s">
        <v>100</v>
      </c>
      <c r="D70" s="628" t="s">
        <v>170</v>
      </c>
      <c r="E70" s="624"/>
      <c r="F70" s="626" t="s">
        <v>99</v>
      </c>
      <c r="G70" s="629" t="s">
        <v>100</v>
      </c>
      <c r="H70" s="628" t="s">
        <v>170</v>
      </c>
      <c r="I70" s="624"/>
      <c r="J70" s="626" t="s">
        <v>99</v>
      </c>
      <c r="K70" s="629" t="s">
        <v>100</v>
      </c>
      <c r="L70" s="628" t="s">
        <v>170</v>
      </c>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row>
    <row r="71" spans="1:37" s="145" customFormat="1" hidden="1">
      <c r="A71" s="612"/>
      <c r="B71" s="471">
        <f>B27-(B36*'Manure and Nutrient Credits'!$D$27)</f>
        <v>0</v>
      </c>
      <c r="C71" s="471">
        <f>C27</f>
        <v>0</v>
      </c>
      <c r="D71" s="471">
        <f>D27</f>
        <v>0</v>
      </c>
      <c r="E71" s="624"/>
      <c r="F71" s="471">
        <f>F27-(F36*'Manure and Nutrient Credits'!$D$30)</f>
        <v>0</v>
      </c>
      <c r="G71" s="471">
        <f>G27</f>
        <v>0</v>
      </c>
      <c r="H71" s="471">
        <f>H27</f>
        <v>0</v>
      </c>
      <c r="I71" s="624"/>
      <c r="J71" s="471">
        <f>J27-(J36*'Manure and Nutrient Credits'!$D$33)</f>
        <v>0</v>
      </c>
      <c r="K71" s="471">
        <f>K27</f>
        <v>0</v>
      </c>
      <c r="L71" s="471">
        <f>L27</f>
        <v>0</v>
      </c>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row>
    <row r="72" spans="1:37" hidden="1">
      <c r="A72" s="611"/>
      <c r="B72" s="627">
        <f>MAX(0,B71)</f>
        <v>0</v>
      </c>
      <c r="C72" s="627">
        <f>MAX(0,C71)</f>
        <v>0</v>
      </c>
      <c r="D72" s="627">
        <f>MAX(0,D71)</f>
        <v>0</v>
      </c>
      <c r="E72" s="624"/>
      <c r="F72" s="627">
        <f>MAX(0,F71)</f>
        <v>0</v>
      </c>
      <c r="G72" s="627">
        <f>MAX(0,G71)</f>
        <v>0</v>
      </c>
      <c r="H72" s="627">
        <f>MAX(0,H71)</f>
        <v>0</v>
      </c>
      <c r="I72" s="624"/>
      <c r="J72" s="627">
        <f>MAX(0,J71)</f>
        <v>0</v>
      </c>
      <c r="K72" s="627">
        <f>MAX(0,K71)</f>
        <v>0</v>
      </c>
      <c r="L72" s="627">
        <f>MAX(0,L71)</f>
        <v>0</v>
      </c>
      <c r="M72" s="611"/>
      <c r="N72" s="611"/>
      <c r="O72" s="611"/>
      <c r="P72" s="611"/>
      <c r="Q72" s="611"/>
      <c r="R72" s="611"/>
      <c r="S72" s="611"/>
      <c r="T72" s="611"/>
      <c r="U72" s="611"/>
      <c r="V72" s="611"/>
      <c r="W72" s="611"/>
      <c r="X72" s="611"/>
      <c r="Y72" s="611"/>
      <c r="Z72" s="611"/>
      <c r="AA72" s="611"/>
      <c r="AB72" s="611"/>
      <c r="AC72" s="611"/>
      <c r="AD72" s="611"/>
      <c r="AE72" s="611"/>
      <c r="AF72" s="611"/>
      <c r="AG72" s="611"/>
      <c r="AH72" s="611"/>
      <c r="AI72" s="611"/>
      <c r="AJ72" s="611"/>
      <c r="AK72" s="611"/>
    </row>
    <row r="73" spans="1:37" hidden="1">
      <c r="A73" s="611"/>
      <c r="B73" s="626" t="s">
        <v>102</v>
      </c>
      <c r="C73" s="626" t="s">
        <v>103</v>
      </c>
      <c r="D73" s="626" t="s">
        <v>104</v>
      </c>
      <c r="E73" s="295"/>
      <c r="F73" s="626" t="s">
        <v>102</v>
      </c>
      <c r="G73" s="626" t="s">
        <v>103</v>
      </c>
      <c r="H73" s="626" t="s">
        <v>104</v>
      </c>
      <c r="I73" s="295"/>
      <c r="J73" s="626" t="s">
        <v>102</v>
      </c>
      <c r="K73" s="626" t="s">
        <v>103</v>
      </c>
      <c r="L73" s="626" t="s">
        <v>104</v>
      </c>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row>
    <row r="74" spans="1:37" hidden="1">
      <c r="A74" s="611"/>
      <c r="B74" s="471">
        <v>0</v>
      </c>
      <c r="C74" s="471">
        <v>0</v>
      </c>
      <c r="D74" s="471">
        <v>0</v>
      </c>
      <c r="E74" s="295"/>
      <c r="F74" s="471">
        <v>0</v>
      </c>
      <c r="G74" s="471">
        <v>0</v>
      </c>
      <c r="H74" s="471">
        <v>0</v>
      </c>
      <c r="I74" s="295"/>
      <c r="J74" s="471">
        <v>0</v>
      </c>
      <c r="K74" s="471">
        <v>0</v>
      </c>
      <c r="L74" s="471">
        <v>0</v>
      </c>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row>
    <row r="75" spans="1:37" s="145" customFormat="1" hidden="1">
      <c r="A75" s="612"/>
      <c r="B75" s="625"/>
      <c r="C75" s="617"/>
      <c r="D75" s="617"/>
      <c r="E75" s="624"/>
      <c r="F75" s="617"/>
      <c r="G75" s="617"/>
      <c r="H75" s="617"/>
      <c r="I75" s="624"/>
      <c r="J75" s="617"/>
      <c r="K75" s="617"/>
      <c r="L75" s="623"/>
      <c r="M75" s="612"/>
      <c r="N75" s="612"/>
      <c r="O75" s="612"/>
      <c r="P75" s="612"/>
      <c r="Q75" s="612"/>
      <c r="R75" s="612"/>
      <c r="S75" s="612"/>
      <c r="T75" s="612"/>
      <c r="U75" s="612"/>
      <c r="V75" s="612"/>
      <c r="W75" s="612"/>
      <c r="X75" s="612"/>
      <c r="Y75" s="612"/>
      <c r="Z75" s="612"/>
      <c r="AA75" s="612"/>
      <c r="AB75" s="612"/>
      <c r="AC75" s="612"/>
      <c r="AD75" s="612"/>
      <c r="AE75" s="612"/>
      <c r="AF75" s="612"/>
      <c r="AG75" s="612"/>
      <c r="AH75" s="612"/>
      <c r="AI75" s="612"/>
      <c r="AJ75" s="612"/>
      <c r="AK75" s="612"/>
    </row>
    <row r="76" spans="1:37" s="145" customFormat="1">
      <c r="A76" s="612"/>
      <c r="B76" s="622"/>
      <c r="C76" s="611"/>
      <c r="D76" s="611"/>
      <c r="E76" s="611"/>
      <c r="F76" s="611"/>
      <c r="G76" s="611"/>
      <c r="H76" s="611"/>
      <c r="I76" s="621"/>
      <c r="J76" s="1011" t="s">
        <v>509</v>
      </c>
      <c r="K76" s="1012"/>
      <c r="L76" s="1013"/>
      <c r="M76" s="612"/>
      <c r="N76" s="612"/>
      <c r="O76" s="612"/>
      <c r="P76" s="612"/>
      <c r="Q76" s="612"/>
      <c r="R76" s="612"/>
      <c r="S76" s="612"/>
      <c r="T76" s="612"/>
      <c r="U76" s="612"/>
      <c r="V76" s="612"/>
      <c r="W76" s="612"/>
      <c r="X76" s="612"/>
      <c r="Y76" s="612"/>
      <c r="Z76" s="612"/>
      <c r="AA76" s="612"/>
      <c r="AB76" s="612"/>
      <c r="AC76" s="612"/>
      <c r="AD76" s="612"/>
      <c r="AE76" s="612"/>
      <c r="AF76" s="612"/>
      <c r="AG76" s="612"/>
      <c r="AH76" s="612"/>
      <c r="AI76" s="612"/>
      <c r="AJ76" s="612"/>
      <c r="AK76" s="612"/>
    </row>
    <row r="77" spans="1:37" s="145" customFormat="1">
      <c r="A77" s="612"/>
      <c r="B77" s="620"/>
      <c r="C77" s="619"/>
      <c r="D77" s="619"/>
      <c r="E77" s="619"/>
      <c r="F77" s="619"/>
      <c r="G77" s="619"/>
      <c r="H77" s="619"/>
      <c r="I77" s="619"/>
      <c r="J77" s="619"/>
      <c r="K77" s="619"/>
      <c r="L77" s="618"/>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612"/>
      <c r="AK77" s="612"/>
    </row>
    <row r="78" spans="1:37" s="145" customFormat="1" ht="18" customHeight="1">
      <c r="A78" s="612"/>
      <c r="B78" s="1014" t="s">
        <v>404</v>
      </c>
      <c r="C78" s="1014"/>
      <c r="D78" s="1014"/>
      <c r="E78" s="1014"/>
      <c r="F78" s="1014"/>
      <c r="G78" s="1014"/>
      <c r="H78" s="1014"/>
      <c r="I78" s="1014"/>
      <c r="J78" s="1014"/>
      <c r="K78" s="1014"/>
      <c r="L78" s="1014"/>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612"/>
      <c r="AK78" s="612"/>
    </row>
    <row r="79" spans="1:37" s="145" customFormat="1">
      <c r="A79" s="612"/>
      <c r="B79" s="611"/>
      <c r="C79" s="611"/>
      <c r="D79" s="611"/>
      <c r="E79" s="611"/>
      <c r="F79" s="611"/>
      <c r="G79" s="611"/>
      <c r="H79" s="611"/>
      <c r="I79" s="611"/>
      <c r="J79" s="611"/>
      <c r="K79" s="611"/>
      <c r="L79" s="611"/>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2"/>
    </row>
    <row r="80" spans="1:37" s="145" customFormat="1" hidden="1">
      <c r="A80" s="612"/>
      <c r="B80" s="611" t="s">
        <v>508</v>
      </c>
      <c r="C80" s="611"/>
      <c r="D80" s="611"/>
      <c r="E80" s="617"/>
      <c r="F80" s="611" t="s">
        <v>508</v>
      </c>
      <c r="G80" s="611"/>
      <c r="H80" s="611"/>
      <c r="I80" s="617"/>
      <c r="J80" s="611" t="s">
        <v>508</v>
      </c>
      <c r="K80" s="611"/>
      <c r="L80" s="611"/>
      <c r="M80" s="612"/>
      <c r="N80" s="612"/>
      <c r="O80" s="612"/>
      <c r="P80" s="612"/>
      <c r="Q80" s="612"/>
      <c r="R80" s="612"/>
      <c r="S80" s="612"/>
      <c r="T80" s="612"/>
      <c r="U80" s="612"/>
      <c r="V80" s="612"/>
      <c r="W80" s="612"/>
      <c r="X80" s="612"/>
      <c r="Y80" s="612"/>
      <c r="Z80" s="612"/>
      <c r="AA80" s="612"/>
      <c r="AB80" s="612"/>
      <c r="AC80" s="612"/>
      <c r="AD80" s="612"/>
      <c r="AE80" s="612"/>
      <c r="AF80" s="612"/>
      <c r="AG80" s="612"/>
      <c r="AH80" s="612"/>
      <c r="AI80" s="612"/>
      <c r="AJ80" s="612"/>
      <c r="AK80" s="612"/>
    </row>
    <row r="81" spans="1:37" s="145" customFormat="1" hidden="1">
      <c r="A81" s="612"/>
      <c r="B81" s="616">
        <f>B12-(B34*'Manure and Nutrient Credits'!$D$27)-B44-D49</f>
        <v>0</v>
      </c>
      <c r="C81" s="616">
        <f>C12-(C34*'Manure and Nutrient Credits'!$D$27)-C44</f>
        <v>0</v>
      </c>
      <c r="D81" s="616">
        <f>D12-(D34*'Manure and Nutrient Credits'!$D$27)-D44</f>
        <v>0</v>
      </c>
      <c r="E81" s="615"/>
      <c r="F81" s="616">
        <f>F12-(F34*'Manure and Nutrient Credits'!$D$30)-F44-H49</f>
        <v>0</v>
      </c>
      <c r="G81" s="616">
        <f>G12-(G34*'Manure and Nutrient Credits'!$D$30)-G44</f>
        <v>0</v>
      </c>
      <c r="H81" s="616">
        <f>H12-(H34*'Manure and Nutrient Credits'!$D$30)-H44</f>
        <v>0</v>
      </c>
      <c r="I81" s="615"/>
      <c r="J81" s="616">
        <f>J12-(J34*'Manure and Nutrient Credits'!$D$33)-J44-L49</f>
        <v>0</v>
      </c>
      <c r="K81" s="616">
        <f>K12-(K34*'Manure and Nutrient Credits'!$D$33)-K44</f>
        <v>0</v>
      </c>
      <c r="L81" s="616">
        <f>L12-(L34*'Manure and Nutrient Credits'!$D$33)-L44</f>
        <v>0</v>
      </c>
      <c r="M81" s="612"/>
      <c r="N81" s="612"/>
      <c r="O81" s="612"/>
      <c r="P81" s="612"/>
      <c r="Q81" s="612"/>
      <c r="R81" s="612"/>
      <c r="S81" s="612"/>
      <c r="T81" s="612"/>
      <c r="U81" s="612"/>
      <c r="V81" s="612"/>
      <c r="W81" s="612"/>
      <c r="X81" s="612"/>
      <c r="Y81" s="612"/>
      <c r="Z81" s="612"/>
      <c r="AA81" s="612"/>
      <c r="AB81" s="612"/>
      <c r="AC81" s="612"/>
      <c r="AD81" s="612"/>
      <c r="AE81" s="612"/>
      <c r="AF81" s="612"/>
      <c r="AG81" s="612"/>
      <c r="AH81" s="612"/>
      <c r="AI81" s="612"/>
      <c r="AJ81" s="612"/>
      <c r="AK81" s="612"/>
    </row>
    <row r="82" spans="1:37" s="145" customFormat="1" hidden="1">
      <c r="A82" s="612"/>
      <c r="B82" s="614">
        <f>MAX(0,B81)</f>
        <v>0</v>
      </c>
      <c r="C82" s="614">
        <f>MAX(0,C81)</f>
        <v>0</v>
      </c>
      <c r="D82" s="614">
        <f>MAX(0,D81)</f>
        <v>0</v>
      </c>
      <c r="E82" s="615"/>
      <c r="F82" s="614">
        <f>MAX(0,F81)</f>
        <v>0</v>
      </c>
      <c r="G82" s="614">
        <f>MAX(0,G81)</f>
        <v>0</v>
      </c>
      <c r="H82" s="614">
        <f>MAX(0,H81)</f>
        <v>0</v>
      </c>
      <c r="I82" s="615"/>
      <c r="J82" s="614">
        <f>MAX(0,J81)</f>
        <v>0</v>
      </c>
      <c r="K82" s="614">
        <f>MAX(0,K81)</f>
        <v>0</v>
      </c>
      <c r="L82" s="614">
        <f>MAX(0,L81)</f>
        <v>0</v>
      </c>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612"/>
      <c r="AK82" s="612"/>
    </row>
    <row r="83" spans="1:37" s="145" customFormat="1" hidden="1">
      <c r="A83" s="612"/>
      <c r="B83" s="616">
        <f>B14-(B36*'Manure and Nutrient Credits'!$D$27)</f>
        <v>0</v>
      </c>
      <c r="C83" s="616"/>
      <c r="D83" s="616"/>
      <c r="E83" s="615"/>
      <c r="F83" s="616">
        <f>F14-(F36*'Manure and Nutrient Credits'!$D$30)</f>
        <v>0</v>
      </c>
      <c r="G83" s="616"/>
      <c r="H83" s="616"/>
      <c r="I83" s="615"/>
      <c r="J83" s="616">
        <f>J14-(J36*'Manure and Nutrient Credits'!$D$33)</f>
        <v>0</v>
      </c>
      <c r="K83" s="616"/>
      <c r="L83" s="616"/>
      <c r="M83" s="612"/>
      <c r="N83" s="612"/>
      <c r="O83" s="612"/>
      <c r="P83" s="612"/>
      <c r="Q83" s="612"/>
      <c r="R83" s="612"/>
      <c r="S83" s="612"/>
      <c r="T83" s="612"/>
      <c r="U83" s="612"/>
      <c r="V83" s="612"/>
      <c r="W83" s="612"/>
      <c r="X83" s="612"/>
      <c r="Y83" s="612"/>
      <c r="Z83" s="612"/>
      <c r="AA83" s="612"/>
      <c r="AB83" s="612"/>
      <c r="AC83" s="612"/>
      <c r="AD83" s="612"/>
      <c r="AE83" s="612"/>
      <c r="AF83" s="612"/>
      <c r="AG83" s="612"/>
      <c r="AH83" s="612"/>
      <c r="AI83" s="612"/>
      <c r="AJ83" s="612"/>
      <c r="AK83" s="612"/>
    </row>
    <row r="84" spans="1:37" s="145" customFormat="1" hidden="1">
      <c r="A84" s="612"/>
      <c r="B84" s="614">
        <f>MAX(0,B83)</f>
        <v>0</v>
      </c>
      <c r="C84" s="612"/>
      <c r="D84" s="612"/>
      <c r="E84" s="615"/>
      <c r="F84" s="614">
        <f>MAX(0,F83)</f>
        <v>0</v>
      </c>
      <c r="G84" s="612"/>
      <c r="H84" s="612"/>
      <c r="I84" s="615"/>
      <c r="J84" s="614">
        <f>MAX(0,J83)</f>
        <v>0</v>
      </c>
      <c r="K84" s="612"/>
      <c r="L84" s="612"/>
      <c r="M84" s="612"/>
      <c r="N84" s="612"/>
      <c r="O84" s="612"/>
      <c r="P84" s="612"/>
      <c r="Q84" s="612"/>
      <c r="R84" s="612"/>
      <c r="S84" s="612"/>
      <c r="T84" s="612"/>
      <c r="U84" s="612"/>
      <c r="V84" s="612"/>
      <c r="W84" s="612"/>
      <c r="X84" s="612"/>
      <c r="Y84" s="612"/>
      <c r="Z84" s="612"/>
      <c r="AA84" s="612"/>
      <c r="AB84" s="612"/>
      <c r="AC84" s="612"/>
      <c r="AD84" s="612"/>
      <c r="AE84" s="612"/>
      <c r="AF84" s="612"/>
      <c r="AG84" s="612"/>
      <c r="AH84" s="612"/>
      <c r="AI84" s="612"/>
      <c r="AJ84" s="612"/>
      <c r="AK84" s="612"/>
    </row>
    <row r="85" spans="1:37" hidden="1">
      <c r="A85" s="611"/>
      <c r="B85" s="612"/>
      <c r="C85" s="612"/>
      <c r="D85" s="612"/>
      <c r="E85" s="612"/>
      <c r="F85" s="612"/>
      <c r="G85" s="612"/>
      <c r="H85" s="612"/>
      <c r="I85" s="612"/>
      <c r="J85" s="612"/>
      <c r="K85" s="612"/>
      <c r="L85" s="612"/>
      <c r="M85" s="611"/>
      <c r="N85" s="611"/>
      <c r="O85" s="611"/>
      <c r="P85" s="611"/>
      <c r="Q85" s="611"/>
      <c r="R85" s="611"/>
      <c r="S85" s="611"/>
      <c r="T85" s="611"/>
      <c r="U85" s="611"/>
      <c r="V85" s="611"/>
      <c r="W85" s="611"/>
      <c r="X85" s="611"/>
      <c r="Y85" s="611"/>
      <c r="Z85" s="611"/>
      <c r="AA85" s="611"/>
      <c r="AB85" s="611"/>
      <c r="AC85" s="611"/>
      <c r="AD85" s="611"/>
      <c r="AE85" s="611"/>
      <c r="AF85" s="611"/>
      <c r="AG85" s="611"/>
      <c r="AH85" s="611"/>
      <c r="AI85" s="611"/>
      <c r="AJ85" s="611"/>
      <c r="AK85" s="611"/>
    </row>
    <row r="86" spans="1:37" hidden="1">
      <c r="A86" s="611"/>
      <c r="B86" s="612" t="s">
        <v>507</v>
      </c>
      <c r="C86" s="612"/>
      <c r="D86" s="612"/>
      <c r="E86" s="612"/>
      <c r="F86" s="612" t="s">
        <v>507</v>
      </c>
      <c r="G86" s="612"/>
      <c r="H86" s="612"/>
      <c r="I86" s="612"/>
      <c r="J86" s="612" t="s">
        <v>507</v>
      </c>
      <c r="K86" s="612"/>
      <c r="L86" s="612"/>
      <c r="M86" s="611"/>
      <c r="N86" s="611"/>
      <c r="O86" s="611"/>
      <c r="P86" s="611"/>
      <c r="Q86" s="611"/>
      <c r="R86" s="611"/>
      <c r="S86" s="611"/>
      <c r="T86" s="611"/>
      <c r="U86" s="611"/>
      <c r="V86" s="611"/>
      <c r="W86" s="611"/>
      <c r="X86" s="611"/>
      <c r="Y86" s="611"/>
      <c r="Z86" s="611"/>
      <c r="AA86" s="611"/>
      <c r="AB86" s="611"/>
      <c r="AC86" s="611"/>
      <c r="AD86" s="611"/>
      <c r="AE86" s="611"/>
      <c r="AF86" s="611"/>
      <c r="AG86" s="611"/>
      <c r="AH86" s="611"/>
      <c r="AI86" s="611"/>
      <c r="AJ86" s="611"/>
      <c r="AK86" s="611"/>
    </row>
    <row r="87" spans="1:37" hidden="1">
      <c r="A87" s="611"/>
      <c r="B87" s="614">
        <f>B25-(B34*'Manure and Nutrient Credits'!$D$27)-B44-D49</f>
        <v>0</v>
      </c>
      <c r="C87" s="614">
        <f>C25-(C34*'Manure and Nutrient Credits'!$D$27)-C44</f>
        <v>0</v>
      </c>
      <c r="D87" s="613">
        <f>D25-(D34*'Manure and Nutrient Credits'!$D$27)-D44</f>
        <v>0</v>
      </c>
      <c r="E87" s="612"/>
      <c r="F87" s="613">
        <f>F25-(F34*'Manure and Nutrient Credits'!$D$30)-F44-H49</f>
        <v>0</v>
      </c>
      <c r="G87" s="613">
        <f>G25-(G34*'Manure and Nutrient Credits'!$D$30)-G44</f>
        <v>0</v>
      </c>
      <c r="H87" s="613">
        <f>H25-(H34*'Manure and Nutrient Credits'!$D$30)-H44</f>
        <v>0</v>
      </c>
      <c r="I87" s="613"/>
      <c r="J87" s="613">
        <f>J25-(J34*'Manure and Nutrient Credits'!$D$33)-J44-L49</f>
        <v>0</v>
      </c>
      <c r="K87" s="613">
        <f>K25-(K34*'Manure and Nutrient Credits'!$D$33)-K44</f>
        <v>0</v>
      </c>
      <c r="L87" s="613">
        <f>L25-(L34*'Manure and Nutrient Credits'!$D$33)-L44</f>
        <v>0</v>
      </c>
      <c r="M87" s="611"/>
      <c r="N87" s="611"/>
      <c r="O87" s="611"/>
      <c r="P87" s="611"/>
      <c r="Q87" s="611"/>
      <c r="R87" s="611"/>
      <c r="S87" s="611"/>
      <c r="T87" s="611"/>
      <c r="U87" s="611"/>
      <c r="V87" s="611"/>
      <c r="W87" s="611"/>
      <c r="X87" s="611"/>
      <c r="Y87" s="611"/>
      <c r="Z87" s="611"/>
      <c r="AA87" s="611"/>
      <c r="AB87" s="611"/>
      <c r="AC87" s="611"/>
      <c r="AD87" s="611"/>
      <c r="AE87" s="611"/>
      <c r="AF87" s="611"/>
      <c r="AG87" s="611"/>
      <c r="AH87" s="611"/>
      <c r="AI87" s="611"/>
      <c r="AJ87" s="611"/>
      <c r="AK87" s="611"/>
    </row>
    <row r="88" spans="1:37" hidden="1">
      <c r="A88" s="611"/>
      <c r="B88" s="614">
        <f>MAX(0,B87)</f>
        <v>0</v>
      </c>
      <c r="C88" s="614">
        <f>MAX(0,C87)</f>
        <v>0</v>
      </c>
      <c r="D88" s="614">
        <f>MAX(0,D87)</f>
        <v>0</v>
      </c>
      <c r="E88" s="612"/>
      <c r="F88" s="614">
        <f>MAX(0,F87)</f>
        <v>0</v>
      </c>
      <c r="G88" s="614">
        <f>MAX(0,G87)</f>
        <v>0</v>
      </c>
      <c r="H88" s="614">
        <f>MAX(0,H87)</f>
        <v>0</v>
      </c>
      <c r="I88" s="613"/>
      <c r="J88" s="614">
        <f>MAX(0,J87)</f>
        <v>0</v>
      </c>
      <c r="K88" s="614">
        <f>MAX(0,K87)</f>
        <v>0</v>
      </c>
      <c r="L88" s="614">
        <f>MAX(0,L87)</f>
        <v>0</v>
      </c>
      <c r="M88" s="611"/>
      <c r="N88" s="611"/>
      <c r="O88" s="611"/>
      <c r="P88" s="611"/>
      <c r="Q88" s="611"/>
      <c r="R88" s="611"/>
      <c r="S88" s="611"/>
      <c r="T88" s="611"/>
      <c r="U88" s="611"/>
      <c r="V88" s="611"/>
      <c r="W88" s="611"/>
      <c r="X88" s="611"/>
      <c r="Y88" s="611"/>
      <c r="Z88" s="611"/>
      <c r="AA88" s="611"/>
      <c r="AB88" s="611"/>
      <c r="AC88" s="611"/>
      <c r="AD88" s="611"/>
      <c r="AE88" s="611"/>
      <c r="AF88" s="611"/>
      <c r="AG88" s="611"/>
      <c r="AH88" s="611"/>
      <c r="AI88" s="611"/>
      <c r="AJ88" s="611"/>
      <c r="AK88" s="611"/>
    </row>
    <row r="89" spans="1:37" hidden="1">
      <c r="A89" s="611"/>
      <c r="B89" s="614">
        <f>B27-(B36*'Manure and Nutrient Credits'!$D$27)</f>
        <v>0</v>
      </c>
      <c r="C89" s="612"/>
      <c r="D89" s="612"/>
      <c r="E89" s="612"/>
      <c r="F89" s="613">
        <f>F27-(F36*'Manure and Nutrient Credits'!$D$30)</f>
        <v>0</v>
      </c>
      <c r="G89" s="613"/>
      <c r="H89" s="613"/>
      <c r="I89" s="613"/>
      <c r="J89" s="613">
        <f>J27-(J36*'Manure and Nutrient Credits'!$D$33)</f>
        <v>0</v>
      </c>
      <c r="K89" s="613"/>
      <c r="L89" s="613"/>
      <c r="M89" s="611"/>
      <c r="N89" s="611"/>
      <c r="O89" s="611"/>
      <c r="P89" s="611"/>
      <c r="Q89" s="611"/>
      <c r="R89" s="611"/>
      <c r="S89" s="611"/>
      <c r="T89" s="611"/>
      <c r="U89" s="611"/>
      <c r="V89" s="611"/>
      <c r="W89" s="611"/>
      <c r="X89" s="611"/>
      <c r="Y89" s="611"/>
      <c r="Z89" s="611"/>
      <c r="AA89" s="611"/>
      <c r="AB89" s="611"/>
      <c r="AC89" s="611"/>
      <c r="AD89" s="611"/>
      <c r="AE89" s="611"/>
      <c r="AF89" s="611"/>
      <c r="AG89" s="611"/>
      <c r="AH89" s="611"/>
      <c r="AI89" s="611"/>
      <c r="AJ89" s="611"/>
      <c r="AK89" s="611"/>
    </row>
    <row r="90" spans="1:37" hidden="1">
      <c r="A90" s="611"/>
      <c r="B90" s="614">
        <f>MAX(0,B89)</f>
        <v>0</v>
      </c>
      <c r="C90" s="612"/>
      <c r="D90" s="612"/>
      <c r="E90" s="612"/>
      <c r="F90" s="614">
        <f>MAX(0,F89)</f>
        <v>0</v>
      </c>
      <c r="G90" s="613"/>
      <c r="H90" s="613"/>
      <c r="I90" s="613"/>
      <c r="J90" s="614">
        <f>MAX(0,J89)</f>
        <v>0</v>
      </c>
      <c r="K90" s="613"/>
      <c r="L90" s="613"/>
      <c r="M90" s="611"/>
      <c r="N90" s="611"/>
      <c r="O90" s="611"/>
      <c r="P90" s="611"/>
      <c r="Q90" s="611"/>
      <c r="R90" s="611"/>
      <c r="S90" s="611"/>
      <c r="T90" s="611"/>
      <c r="U90" s="611"/>
      <c r="V90" s="611"/>
      <c r="W90" s="611"/>
      <c r="X90" s="611"/>
      <c r="Y90" s="611"/>
      <c r="Z90" s="611"/>
      <c r="AA90" s="611"/>
      <c r="AB90" s="611"/>
      <c r="AC90" s="611"/>
      <c r="AD90" s="611"/>
      <c r="AE90" s="611"/>
      <c r="AF90" s="611"/>
      <c r="AG90" s="611"/>
      <c r="AH90" s="611"/>
      <c r="AI90" s="611"/>
      <c r="AJ90" s="611"/>
      <c r="AK90" s="611"/>
    </row>
    <row r="91" spans="1:37">
      <c r="A91" s="611"/>
      <c r="B91" s="612"/>
      <c r="C91" s="612"/>
      <c r="D91" s="612"/>
      <c r="E91" s="612"/>
      <c r="F91" s="612"/>
      <c r="G91" s="612"/>
      <c r="H91" s="612"/>
      <c r="I91" s="612"/>
      <c r="J91" s="612"/>
      <c r="K91" s="612"/>
      <c r="L91" s="612"/>
      <c r="M91" s="611"/>
      <c r="N91" s="611"/>
      <c r="O91" s="611"/>
      <c r="P91" s="611"/>
      <c r="Q91" s="611"/>
      <c r="R91" s="611"/>
      <c r="S91" s="611"/>
      <c r="T91" s="611"/>
      <c r="U91" s="611"/>
      <c r="V91" s="611"/>
      <c r="W91" s="611"/>
      <c r="X91" s="611"/>
      <c r="Y91" s="611"/>
      <c r="Z91" s="611"/>
      <c r="AA91" s="611"/>
      <c r="AB91" s="611"/>
      <c r="AC91" s="611"/>
      <c r="AD91" s="611"/>
      <c r="AE91" s="611"/>
      <c r="AF91" s="611"/>
      <c r="AG91" s="611"/>
      <c r="AH91" s="611"/>
      <c r="AI91" s="611"/>
      <c r="AJ91" s="611"/>
      <c r="AK91" s="611"/>
    </row>
    <row r="92" spans="1:37">
      <c r="A92" s="611"/>
      <c r="B92" s="611"/>
      <c r="C92" s="611"/>
      <c r="D92" s="611"/>
      <c r="E92" s="611"/>
      <c r="F92" s="611"/>
      <c r="G92" s="611"/>
      <c r="H92" s="611"/>
      <c r="I92" s="611"/>
      <c r="J92" s="611"/>
      <c r="K92" s="611"/>
      <c r="L92" s="611"/>
      <c r="M92" s="611"/>
      <c r="N92" s="611"/>
      <c r="O92" s="611"/>
      <c r="P92" s="611"/>
      <c r="Q92" s="611"/>
      <c r="R92" s="611"/>
      <c r="S92" s="611"/>
      <c r="T92" s="611"/>
      <c r="U92" s="611"/>
      <c r="V92" s="611"/>
      <c r="W92" s="611"/>
      <c r="X92" s="611"/>
      <c r="Y92" s="611"/>
      <c r="Z92" s="611"/>
      <c r="AA92" s="611"/>
      <c r="AB92" s="611"/>
      <c r="AC92" s="611"/>
      <c r="AD92" s="611"/>
      <c r="AE92" s="611"/>
      <c r="AF92" s="611"/>
      <c r="AG92" s="611"/>
      <c r="AH92" s="611"/>
      <c r="AI92" s="611"/>
      <c r="AJ92" s="611"/>
      <c r="AK92" s="611"/>
    </row>
    <row r="93" spans="1:37">
      <c r="A93" s="611"/>
      <c r="B93" s="611"/>
      <c r="C93" s="611"/>
      <c r="D93" s="611"/>
      <c r="E93" s="611"/>
      <c r="F93" s="611"/>
      <c r="G93" s="611"/>
      <c r="H93" s="611"/>
      <c r="I93" s="611"/>
      <c r="J93" s="611"/>
      <c r="K93" s="611"/>
      <c r="L93" s="611"/>
      <c r="M93" s="611"/>
      <c r="N93" s="611"/>
      <c r="O93" s="611"/>
      <c r="P93" s="611"/>
      <c r="Q93" s="611"/>
      <c r="R93" s="611"/>
      <c r="S93" s="611"/>
      <c r="T93" s="611"/>
      <c r="U93" s="611"/>
      <c r="V93" s="611"/>
      <c r="W93" s="611"/>
      <c r="X93" s="611"/>
      <c r="Y93" s="611"/>
      <c r="Z93" s="611"/>
      <c r="AA93" s="611"/>
      <c r="AB93" s="611"/>
      <c r="AC93" s="611"/>
      <c r="AD93" s="611"/>
      <c r="AE93" s="611"/>
      <c r="AF93" s="611"/>
      <c r="AG93" s="611"/>
      <c r="AH93" s="611"/>
      <c r="AI93" s="611"/>
      <c r="AJ93" s="611"/>
      <c r="AK93" s="611"/>
    </row>
    <row r="94" spans="1:37">
      <c r="A94" s="611"/>
      <c r="B94" s="611"/>
      <c r="C94" s="611"/>
      <c r="D94" s="611"/>
      <c r="E94" s="611"/>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c r="AF94" s="611"/>
      <c r="AG94" s="611"/>
      <c r="AH94" s="611"/>
      <c r="AI94" s="611"/>
      <c r="AJ94" s="611"/>
      <c r="AK94" s="611"/>
    </row>
    <row r="95" spans="1:37">
      <c r="A95" s="611"/>
      <c r="B95" s="611"/>
      <c r="C95" s="611"/>
      <c r="D95" s="611"/>
      <c r="E95" s="611"/>
      <c r="F95" s="611"/>
      <c r="G95" s="611"/>
      <c r="H95" s="611"/>
      <c r="I95" s="611"/>
      <c r="J95" s="611"/>
      <c r="K95" s="611"/>
      <c r="L95" s="611"/>
      <c r="M95" s="611"/>
      <c r="N95" s="611"/>
      <c r="O95" s="611"/>
      <c r="P95" s="611"/>
      <c r="Q95" s="611"/>
      <c r="R95" s="611"/>
      <c r="S95" s="611"/>
      <c r="T95" s="611"/>
      <c r="U95" s="611"/>
      <c r="V95" s="611"/>
      <c r="W95" s="611"/>
      <c r="X95" s="611"/>
      <c r="Y95" s="611"/>
      <c r="Z95" s="611"/>
      <c r="AA95" s="611"/>
      <c r="AB95" s="611"/>
      <c r="AC95" s="611"/>
      <c r="AD95" s="611"/>
      <c r="AE95" s="611"/>
      <c r="AF95" s="611"/>
      <c r="AG95" s="611"/>
      <c r="AH95" s="611"/>
      <c r="AI95" s="611"/>
      <c r="AJ95" s="611"/>
      <c r="AK95" s="611"/>
    </row>
    <row r="96" spans="1:37">
      <c r="A96" s="611"/>
      <c r="B96" s="611"/>
      <c r="C96" s="611"/>
      <c r="D96" s="611"/>
      <c r="E96" s="611"/>
      <c r="F96" s="611"/>
      <c r="G96" s="611"/>
      <c r="H96" s="611"/>
      <c r="I96" s="611"/>
      <c r="J96" s="611"/>
      <c r="K96" s="611"/>
      <c r="L96" s="611"/>
      <c r="M96" s="611"/>
      <c r="N96" s="611"/>
      <c r="O96" s="611"/>
      <c r="P96" s="611"/>
      <c r="Q96" s="611"/>
      <c r="R96" s="611"/>
      <c r="S96" s="611"/>
      <c r="T96" s="611"/>
      <c r="U96" s="611"/>
      <c r="V96" s="611"/>
      <c r="W96" s="611"/>
      <c r="X96" s="611"/>
      <c r="Y96" s="611"/>
      <c r="Z96" s="611"/>
      <c r="AA96" s="611"/>
      <c r="AB96" s="611"/>
      <c r="AC96" s="611"/>
      <c r="AD96" s="611"/>
      <c r="AE96" s="611"/>
      <c r="AF96" s="611"/>
      <c r="AG96" s="611"/>
      <c r="AH96" s="611"/>
      <c r="AI96" s="611"/>
      <c r="AJ96" s="611"/>
      <c r="AK96" s="611"/>
    </row>
    <row r="97" spans="1:37">
      <c r="A97" s="611"/>
      <c r="B97" s="611"/>
      <c r="C97" s="611"/>
      <c r="D97" s="611"/>
      <c r="E97" s="611"/>
      <c r="F97" s="611"/>
      <c r="G97" s="611"/>
      <c r="H97" s="611"/>
      <c r="I97" s="611"/>
      <c r="J97" s="611"/>
      <c r="K97" s="611"/>
      <c r="L97" s="611"/>
      <c r="M97" s="611"/>
      <c r="N97" s="611"/>
      <c r="O97" s="611"/>
      <c r="P97" s="611"/>
      <c r="Q97" s="611"/>
      <c r="R97" s="611"/>
      <c r="S97" s="611"/>
      <c r="T97" s="611"/>
      <c r="U97" s="611"/>
      <c r="V97" s="611"/>
      <c r="W97" s="611"/>
      <c r="X97" s="611"/>
      <c r="Y97" s="611"/>
      <c r="Z97" s="611"/>
      <c r="AA97" s="611"/>
      <c r="AB97" s="611"/>
      <c r="AC97" s="611"/>
      <c r="AD97" s="611"/>
      <c r="AE97" s="611"/>
      <c r="AF97" s="611"/>
      <c r="AG97" s="611"/>
      <c r="AH97" s="611"/>
      <c r="AI97" s="611"/>
      <c r="AJ97" s="611"/>
      <c r="AK97" s="611"/>
    </row>
    <row r="98" spans="1:37">
      <c r="A98" s="611"/>
      <c r="B98" s="611"/>
      <c r="C98" s="611"/>
      <c r="D98" s="611"/>
      <c r="E98" s="611"/>
      <c r="F98" s="611"/>
      <c r="G98" s="611"/>
      <c r="H98" s="611"/>
      <c r="I98" s="611"/>
      <c r="J98" s="611"/>
      <c r="K98" s="611"/>
      <c r="L98" s="611"/>
      <c r="M98" s="611"/>
      <c r="N98" s="611"/>
      <c r="O98" s="611"/>
      <c r="P98" s="611"/>
      <c r="Q98" s="611"/>
      <c r="R98" s="611"/>
      <c r="S98" s="611"/>
      <c r="T98" s="611"/>
      <c r="U98" s="611"/>
      <c r="V98" s="611"/>
      <c r="W98" s="611"/>
      <c r="X98" s="611"/>
      <c r="Y98" s="611"/>
      <c r="Z98" s="611"/>
      <c r="AA98" s="611"/>
      <c r="AB98" s="611"/>
      <c r="AC98" s="611"/>
      <c r="AD98" s="611"/>
      <c r="AE98" s="611"/>
      <c r="AF98" s="611"/>
      <c r="AG98" s="611"/>
      <c r="AH98" s="611"/>
      <c r="AI98" s="611"/>
      <c r="AJ98" s="611"/>
      <c r="AK98" s="611"/>
    </row>
    <row r="99" spans="1:37">
      <c r="A99" s="611"/>
      <c r="B99" s="611"/>
      <c r="C99" s="611"/>
      <c r="D99" s="611"/>
      <c r="E99" s="611"/>
      <c r="F99" s="611"/>
      <c r="G99" s="611"/>
      <c r="H99" s="611"/>
      <c r="I99" s="611"/>
      <c r="J99" s="611"/>
      <c r="K99" s="611"/>
      <c r="L99" s="611"/>
      <c r="M99" s="611"/>
      <c r="N99" s="611"/>
      <c r="O99" s="611"/>
      <c r="P99" s="611"/>
      <c r="Q99" s="611"/>
      <c r="R99" s="611"/>
      <c r="S99" s="611"/>
      <c r="T99" s="611"/>
      <c r="U99" s="611"/>
      <c r="V99" s="611"/>
      <c r="W99" s="611"/>
      <c r="X99" s="611"/>
      <c r="Y99" s="611"/>
      <c r="Z99" s="611"/>
      <c r="AA99" s="611"/>
      <c r="AB99" s="611"/>
      <c r="AC99" s="611"/>
      <c r="AD99" s="611"/>
      <c r="AE99" s="611"/>
      <c r="AF99" s="611"/>
      <c r="AG99" s="611"/>
      <c r="AH99" s="611"/>
      <c r="AI99" s="611"/>
      <c r="AJ99" s="611"/>
      <c r="AK99" s="611"/>
    </row>
    <row r="100" spans="1:37">
      <c r="A100" s="611"/>
      <c r="B100" s="611"/>
      <c r="C100" s="611"/>
      <c r="D100" s="611"/>
      <c r="E100" s="611"/>
      <c r="F100" s="611"/>
      <c r="G100" s="611"/>
      <c r="H100" s="611"/>
      <c r="I100" s="611"/>
      <c r="J100" s="611"/>
      <c r="K100" s="611"/>
      <c r="L100" s="611"/>
      <c r="M100" s="611"/>
      <c r="N100" s="611"/>
      <c r="O100" s="611"/>
      <c r="P100" s="611"/>
      <c r="Q100" s="611"/>
      <c r="R100" s="611"/>
      <c r="S100" s="611"/>
      <c r="T100" s="611"/>
      <c r="U100" s="611"/>
      <c r="V100" s="611"/>
      <c r="W100" s="611"/>
      <c r="X100" s="611"/>
      <c r="Y100" s="611"/>
      <c r="Z100" s="611"/>
      <c r="AA100" s="611"/>
      <c r="AB100" s="611"/>
      <c r="AC100" s="611"/>
      <c r="AD100" s="611"/>
      <c r="AE100" s="611"/>
      <c r="AF100" s="611"/>
      <c r="AG100" s="611"/>
      <c r="AH100" s="611"/>
      <c r="AI100" s="611"/>
      <c r="AJ100" s="611"/>
      <c r="AK100" s="611"/>
    </row>
    <row r="101" spans="1:37">
      <c r="A101" s="611"/>
      <c r="B101" s="611"/>
      <c r="C101" s="611"/>
      <c r="D101" s="611"/>
      <c r="E101" s="611"/>
      <c r="F101" s="611"/>
      <c r="G101" s="611"/>
      <c r="H101" s="611"/>
      <c r="I101" s="611"/>
      <c r="J101" s="611"/>
      <c r="K101" s="611"/>
      <c r="L101" s="611"/>
      <c r="M101" s="611"/>
      <c r="N101" s="611"/>
      <c r="O101" s="611"/>
      <c r="P101" s="611"/>
      <c r="Q101" s="611"/>
      <c r="R101" s="611"/>
      <c r="S101" s="611"/>
      <c r="T101" s="611"/>
      <c r="U101" s="611"/>
      <c r="V101" s="611"/>
      <c r="W101" s="611"/>
      <c r="X101" s="611"/>
      <c r="Y101" s="611"/>
      <c r="Z101" s="611"/>
      <c r="AA101" s="611"/>
      <c r="AB101" s="611"/>
      <c r="AC101" s="611"/>
      <c r="AD101" s="611"/>
      <c r="AE101" s="611"/>
      <c r="AF101" s="611"/>
      <c r="AG101" s="611"/>
      <c r="AH101" s="611"/>
      <c r="AI101" s="611"/>
      <c r="AJ101" s="611"/>
      <c r="AK101" s="611"/>
    </row>
    <row r="102" spans="1:37">
      <c r="A102" s="611"/>
      <c r="B102" s="611"/>
      <c r="C102" s="611"/>
      <c r="D102" s="611"/>
      <c r="E102" s="611"/>
      <c r="F102" s="611"/>
      <c r="G102" s="611"/>
      <c r="H102" s="611"/>
      <c r="I102" s="611"/>
      <c r="J102" s="611"/>
      <c r="K102" s="611"/>
      <c r="L102" s="611"/>
      <c r="M102" s="611"/>
      <c r="N102" s="611"/>
      <c r="O102" s="611"/>
      <c r="P102" s="611"/>
      <c r="Q102" s="611"/>
      <c r="R102" s="611"/>
      <c r="S102" s="611"/>
      <c r="T102" s="611"/>
      <c r="U102" s="611"/>
      <c r="V102" s="611"/>
      <c r="W102" s="611"/>
      <c r="X102" s="611"/>
      <c r="Y102" s="611"/>
      <c r="Z102" s="611"/>
      <c r="AA102" s="611"/>
      <c r="AB102" s="611"/>
      <c r="AC102" s="611"/>
      <c r="AD102" s="611"/>
      <c r="AE102" s="611"/>
      <c r="AF102" s="611"/>
      <c r="AG102" s="611"/>
      <c r="AH102" s="611"/>
      <c r="AI102" s="611"/>
      <c r="AJ102" s="611"/>
      <c r="AK102" s="611"/>
    </row>
    <row r="103" spans="1:37">
      <c r="A103" s="611"/>
      <c r="B103" s="611"/>
      <c r="C103" s="611"/>
      <c r="D103" s="611"/>
      <c r="E103" s="611"/>
      <c r="F103" s="611"/>
      <c r="G103" s="611"/>
      <c r="H103" s="611"/>
      <c r="I103" s="611"/>
      <c r="J103" s="611"/>
      <c r="K103" s="611"/>
      <c r="L103" s="611"/>
      <c r="M103" s="611"/>
      <c r="N103" s="611"/>
      <c r="O103" s="611"/>
      <c r="P103" s="611"/>
      <c r="Q103" s="611"/>
      <c r="R103" s="611"/>
      <c r="S103" s="611"/>
      <c r="T103" s="611"/>
      <c r="U103" s="611"/>
      <c r="V103" s="611"/>
      <c r="W103" s="611"/>
      <c r="X103" s="611"/>
      <c r="Y103" s="611"/>
      <c r="Z103" s="611"/>
      <c r="AA103" s="611"/>
      <c r="AB103" s="611"/>
      <c r="AC103" s="611"/>
      <c r="AD103" s="611"/>
      <c r="AE103" s="611"/>
      <c r="AF103" s="611"/>
      <c r="AG103" s="611"/>
      <c r="AH103" s="611"/>
      <c r="AI103" s="611"/>
      <c r="AJ103" s="611"/>
      <c r="AK103" s="611"/>
    </row>
    <row r="104" spans="1:37">
      <c r="A104" s="611"/>
      <c r="B104" s="611"/>
      <c r="C104" s="611"/>
      <c r="D104" s="611"/>
      <c r="E104" s="611"/>
      <c r="F104" s="611"/>
      <c r="G104" s="611"/>
      <c r="H104" s="611"/>
      <c r="I104" s="611"/>
      <c r="J104" s="611"/>
      <c r="K104" s="611"/>
      <c r="L104" s="611"/>
      <c r="M104" s="611"/>
      <c r="N104" s="611"/>
      <c r="O104" s="611"/>
      <c r="P104" s="611"/>
      <c r="Q104" s="611"/>
      <c r="R104" s="611"/>
      <c r="S104" s="611"/>
      <c r="T104" s="611"/>
      <c r="U104" s="611"/>
      <c r="V104" s="611"/>
      <c r="W104" s="611"/>
      <c r="X104" s="611"/>
      <c r="Y104" s="611"/>
      <c r="Z104" s="611"/>
      <c r="AA104" s="611"/>
      <c r="AB104" s="611"/>
      <c r="AC104" s="611"/>
      <c r="AD104" s="611"/>
      <c r="AE104" s="611"/>
      <c r="AF104" s="611"/>
      <c r="AG104" s="611"/>
      <c r="AH104" s="611"/>
      <c r="AI104" s="611"/>
      <c r="AJ104" s="611"/>
      <c r="AK104" s="611"/>
    </row>
    <row r="105" spans="1:37">
      <c r="A105" s="611"/>
      <c r="B105" s="611"/>
      <c r="C105" s="611"/>
      <c r="D105" s="611"/>
      <c r="E105" s="611"/>
      <c r="F105" s="611"/>
      <c r="G105" s="611"/>
      <c r="H105" s="611"/>
      <c r="I105" s="611"/>
      <c r="J105" s="611"/>
      <c r="K105" s="611"/>
      <c r="L105" s="611"/>
      <c r="M105" s="611"/>
      <c r="N105" s="611"/>
      <c r="O105" s="611"/>
      <c r="P105" s="611"/>
      <c r="Q105" s="611"/>
      <c r="R105" s="611"/>
      <c r="S105" s="611"/>
      <c r="T105" s="611"/>
      <c r="U105" s="611"/>
      <c r="V105" s="611"/>
      <c r="W105" s="611"/>
      <c r="X105" s="611"/>
      <c r="Y105" s="611"/>
      <c r="Z105" s="611"/>
      <c r="AA105" s="611"/>
      <c r="AB105" s="611"/>
      <c r="AC105" s="611"/>
      <c r="AD105" s="611"/>
      <c r="AE105" s="611"/>
      <c r="AF105" s="611"/>
      <c r="AG105" s="611"/>
      <c r="AH105" s="611"/>
      <c r="AI105" s="611"/>
      <c r="AJ105" s="611"/>
      <c r="AK105" s="611"/>
    </row>
    <row r="106" spans="1:37">
      <c r="A106" s="611"/>
      <c r="B106" s="611"/>
      <c r="C106" s="611"/>
      <c r="D106" s="611"/>
      <c r="E106" s="611"/>
      <c r="F106" s="611"/>
      <c r="G106" s="611"/>
      <c r="H106" s="611"/>
      <c r="I106" s="611"/>
      <c r="J106" s="611"/>
      <c r="K106" s="611"/>
      <c r="L106" s="611"/>
      <c r="M106" s="611"/>
      <c r="N106" s="611"/>
      <c r="O106" s="611"/>
      <c r="P106" s="611"/>
      <c r="Q106" s="611"/>
      <c r="R106" s="611"/>
      <c r="S106" s="611"/>
      <c r="T106" s="611"/>
      <c r="U106" s="611"/>
      <c r="V106" s="611"/>
      <c r="W106" s="611"/>
      <c r="X106" s="611"/>
      <c r="Y106" s="611"/>
      <c r="Z106" s="611"/>
      <c r="AA106" s="611"/>
      <c r="AB106" s="611"/>
      <c r="AC106" s="611"/>
      <c r="AD106" s="611"/>
      <c r="AE106" s="611"/>
      <c r="AF106" s="611"/>
      <c r="AG106" s="611"/>
      <c r="AH106" s="611"/>
      <c r="AI106" s="611"/>
      <c r="AJ106" s="611"/>
      <c r="AK106" s="611"/>
    </row>
    <row r="107" spans="1:37">
      <c r="A107" s="611"/>
      <c r="B107" s="611"/>
      <c r="C107" s="611"/>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1"/>
      <c r="AD107" s="611"/>
      <c r="AE107" s="611"/>
      <c r="AF107" s="611"/>
      <c r="AG107" s="611"/>
      <c r="AH107" s="611"/>
      <c r="AI107" s="611"/>
      <c r="AJ107" s="611"/>
      <c r="AK107" s="611"/>
    </row>
    <row r="108" spans="1:37">
      <c r="A108" s="611"/>
      <c r="B108" s="611"/>
      <c r="C108" s="611"/>
      <c r="D108" s="611"/>
      <c r="E108" s="611"/>
      <c r="F108" s="611"/>
      <c r="G108" s="611"/>
      <c r="H108" s="611"/>
      <c r="I108" s="611"/>
      <c r="J108" s="611"/>
      <c r="K108" s="611"/>
      <c r="L108" s="611"/>
      <c r="M108" s="611"/>
      <c r="N108" s="611"/>
      <c r="O108" s="611"/>
      <c r="P108" s="611"/>
      <c r="Q108" s="611"/>
      <c r="R108" s="611"/>
      <c r="S108" s="611"/>
      <c r="T108" s="611"/>
      <c r="U108" s="611"/>
      <c r="V108" s="611"/>
      <c r="W108" s="611"/>
      <c r="X108" s="611"/>
      <c r="Y108" s="611"/>
      <c r="Z108" s="611"/>
      <c r="AA108" s="611"/>
      <c r="AB108" s="611"/>
      <c r="AC108" s="611"/>
      <c r="AD108" s="611"/>
      <c r="AE108" s="611"/>
      <c r="AF108" s="611"/>
      <c r="AG108" s="611"/>
      <c r="AH108" s="611"/>
      <c r="AI108" s="611"/>
      <c r="AJ108" s="611"/>
      <c r="AK108" s="611"/>
    </row>
    <row r="109" spans="1:37">
      <c r="A109" s="611"/>
      <c r="B109" s="611"/>
      <c r="C109" s="611"/>
      <c r="D109" s="611"/>
      <c r="E109" s="611"/>
      <c r="F109" s="611"/>
      <c r="G109" s="611"/>
      <c r="H109" s="611"/>
      <c r="I109" s="611"/>
      <c r="J109" s="611"/>
      <c r="K109" s="611"/>
      <c r="L109" s="611"/>
      <c r="M109" s="611"/>
      <c r="N109" s="611"/>
      <c r="O109" s="611"/>
      <c r="P109" s="611"/>
      <c r="Q109" s="611"/>
      <c r="R109" s="611"/>
      <c r="S109" s="611"/>
      <c r="T109" s="611"/>
      <c r="U109" s="611"/>
      <c r="V109" s="611"/>
      <c r="W109" s="611"/>
      <c r="X109" s="611"/>
      <c r="Y109" s="611"/>
      <c r="Z109" s="611"/>
      <c r="AA109" s="611"/>
      <c r="AB109" s="611"/>
      <c r="AC109" s="611"/>
      <c r="AD109" s="611"/>
      <c r="AE109" s="611"/>
      <c r="AF109" s="611"/>
      <c r="AG109" s="611"/>
      <c r="AH109" s="611"/>
      <c r="AI109" s="611"/>
      <c r="AJ109" s="611"/>
      <c r="AK109" s="611"/>
    </row>
    <row r="110" spans="1:37">
      <c r="A110" s="611"/>
      <c r="B110" s="611"/>
      <c r="C110" s="611"/>
      <c r="D110" s="611"/>
      <c r="E110" s="611"/>
      <c r="F110" s="611"/>
      <c r="G110" s="611"/>
      <c r="H110" s="611"/>
      <c r="I110" s="611"/>
      <c r="J110" s="611"/>
      <c r="K110" s="611"/>
      <c r="L110" s="611"/>
      <c r="M110" s="611"/>
      <c r="N110" s="611"/>
      <c r="O110" s="611"/>
      <c r="P110" s="611"/>
      <c r="Q110" s="611"/>
      <c r="R110" s="611"/>
      <c r="S110" s="611"/>
      <c r="T110" s="611"/>
      <c r="U110" s="611"/>
      <c r="V110" s="611"/>
      <c r="W110" s="611"/>
      <c r="X110" s="611"/>
      <c r="Y110" s="611"/>
      <c r="Z110" s="611"/>
      <c r="AA110" s="611"/>
      <c r="AB110" s="611"/>
      <c r="AC110" s="611"/>
      <c r="AD110" s="611"/>
      <c r="AE110" s="611"/>
      <c r="AF110" s="611"/>
      <c r="AG110" s="611"/>
      <c r="AH110" s="611"/>
      <c r="AI110" s="611"/>
      <c r="AJ110" s="611"/>
      <c r="AK110" s="611"/>
    </row>
    <row r="111" spans="1:37">
      <c r="A111" s="611"/>
      <c r="B111" s="611"/>
      <c r="C111" s="611"/>
      <c r="D111" s="611"/>
      <c r="E111" s="611"/>
      <c r="F111" s="611"/>
      <c r="G111" s="611"/>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611"/>
      <c r="AF111" s="611"/>
      <c r="AG111" s="611"/>
      <c r="AH111" s="611"/>
      <c r="AI111" s="611"/>
      <c r="AJ111" s="611"/>
      <c r="AK111" s="611"/>
    </row>
    <row r="112" spans="1:37">
      <c r="A112" s="611"/>
      <c r="B112" s="611"/>
      <c r="C112" s="611"/>
      <c r="D112" s="611"/>
      <c r="E112" s="611"/>
      <c r="F112" s="611"/>
      <c r="G112" s="611"/>
      <c r="H112" s="611"/>
      <c r="I112" s="611"/>
      <c r="J112" s="611"/>
      <c r="K112" s="611"/>
      <c r="L112" s="611"/>
      <c r="M112" s="611"/>
      <c r="N112" s="611"/>
      <c r="O112" s="611"/>
      <c r="P112" s="611"/>
      <c r="Q112" s="611"/>
      <c r="R112" s="611"/>
      <c r="S112" s="611"/>
      <c r="T112" s="611"/>
      <c r="U112" s="611"/>
      <c r="V112" s="611"/>
      <c r="W112" s="611"/>
      <c r="X112" s="611"/>
      <c r="Y112" s="611"/>
      <c r="Z112" s="611"/>
      <c r="AA112" s="611"/>
      <c r="AB112" s="611"/>
      <c r="AC112" s="611"/>
      <c r="AD112" s="611"/>
      <c r="AE112" s="611"/>
      <c r="AF112" s="611"/>
      <c r="AG112" s="611"/>
      <c r="AH112" s="611"/>
      <c r="AI112" s="611"/>
      <c r="AJ112" s="611"/>
      <c r="AK112" s="611"/>
    </row>
    <row r="113" spans="1:37">
      <c r="A113" s="611"/>
      <c r="B113" s="611"/>
      <c r="C113" s="611"/>
      <c r="D113" s="611"/>
      <c r="E113" s="611"/>
      <c r="F113" s="611"/>
      <c r="G113" s="611"/>
      <c r="H113" s="611"/>
      <c r="I113" s="611"/>
      <c r="J113" s="611"/>
      <c r="K113" s="611"/>
      <c r="L113" s="611"/>
      <c r="M113" s="611"/>
      <c r="N113" s="611"/>
      <c r="O113" s="611"/>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1"/>
    </row>
    <row r="114" spans="1:37">
      <c r="A114" s="611"/>
      <c r="B114" s="611"/>
      <c r="C114" s="611"/>
      <c r="D114" s="611"/>
      <c r="E114" s="611"/>
      <c r="F114" s="611"/>
      <c r="G114" s="611"/>
      <c r="H114" s="611"/>
      <c r="I114" s="611"/>
      <c r="J114" s="611"/>
      <c r="K114" s="611"/>
      <c r="L114" s="611"/>
      <c r="M114" s="611"/>
      <c r="N114" s="611"/>
      <c r="O114" s="611"/>
      <c r="P114" s="611"/>
      <c r="Q114" s="611"/>
      <c r="R114" s="611"/>
      <c r="S114" s="611"/>
      <c r="T114" s="611"/>
      <c r="U114" s="611"/>
      <c r="V114" s="611"/>
      <c r="W114" s="611"/>
      <c r="X114" s="611"/>
      <c r="Y114" s="611"/>
      <c r="Z114" s="611"/>
      <c r="AA114" s="611"/>
      <c r="AB114" s="611"/>
      <c r="AC114" s="611"/>
      <c r="AD114" s="611"/>
      <c r="AE114" s="611"/>
      <c r="AF114" s="611"/>
      <c r="AG114" s="611"/>
      <c r="AH114" s="611"/>
      <c r="AI114" s="611"/>
      <c r="AJ114" s="611"/>
      <c r="AK114" s="611"/>
    </row>
    <row r="115" spans="1:37">
      <c r="A115" s="611"/>
      <c r="B115" s="611"/>
      <c r="C115" s="611"/>
      <c r="D115" s="611"/>
      <c r="E115" s="611"/>
      <c r="F115" s="611"/>
      <c r="G115" s="611"/>
      <c r="H115" s="611"/>
      <c r="I115" s="611"/>
      <c r="J115" s="611"/>
      <c r="K115" s="611"/>
      <c r="L115" s="611"/>
      <c r="M115" s="611"/>
      <c r="N115" s="611"/>
      <c r="O115" s="611"/>
      <c r="P115" s="611"/>
      <c r="Q115" s="611"/>
      <c r="R115" s="611"/>
      <c r="S115" s="611"/>
      <c r="T115" s="611"/>
      <c r="U115" s="611"/>
      <c r="V115" s="611"/>
      <c r="W115" s="611"/>
      <c r="X115" s="611"/>
      <c r="Y115" s="611"/>
      <c r="Z115" s="611"/>
      <c r="AA115" s="611"/>
      <c r="AB115" s="611"/>
      <c r="AC115" s="611"/>
      <c r="AD115" s="611"/>
      <c r="AE115" s="611"/>
      <c r="AF115" s="611"/>
      <c r="AG115" s="611"/>
      <c r="AH115" s="611"/>
      <c r="AI115" s="611"/>
      <c r="AJ115" s="611"/>
      <c r="AK115" s="611"/>
    </row>
    <row r="116" spans="1:37">
      <c r="A116" s="611"/>
      <c r="B116" s="611"/>
      <c r="C116" s="611"/>
      <c r="D116" s="611"/>
      <c r="E116" s="611"/>
      <c r="F116" s="611"/>
      <c r="G116" s="611"/>
      <c r="H116" s="611"/>
      <c r="I116" s="611"/>
      <c r="J116" s="611"/>
      <c r="K116" s="611"/>
      <c r="L116" s="611"/>
      <c r="M116" s="611"/>
      <c r="N116" s="611"/>
      <c r="O116" s="611"/>
      <c r="P116" s="611"/>
      <c r="Q116" s="611"/>
      <c r="R116" s="611"/>
      <c r="S116" s="611"/>
      <c r="T116" s="611"/>
      <c r="U116" s="611"/>
      <c r="V116" s="611"/>
      <c r="W116" s="611"/>
      <c r="X116" s="611"/>
      <c r="Y116" s="611"/>
      <c r="Z116" s="611"/>
      <c r="AA116" s="611"/>
      <c r="AB116" s="611"/>
      <c r="AC116" s="611"/>
      <c r="AD116" s="611"/>
      <c r="AE116" s="611"/>
      <c r="AF116" s="611"/>
      <c r="AG116" s="611"/>
      <c r="AH116" s="611"/>
      <c r="AI116" s="611"/>
      <c r="AJ116" s="611"/>
      <c r="AK116" s="611"/>
    </row>
    <row r="117" spans="1:37">
      <c r="A117" s="611"/>
      <c r="B117" s="611"/>
      <c r="C117" s="611"/>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1"/>
      <c r="AD117" s="611"/>
      <c r="AE117" s="611"/>
      <c r="AF117" s="611"/>
      <c r="AG117" s="611"/>
      <c r="AH117" s="611"/>
      <c r="AI117" s="611"/>
      <c r="AJ117" s="611"/>
      <c r="AK117" s="611"/>
    </row>
    <row r="118" spans="1:37">
      <c r="A118" s="611"/>
      <c r="B118" s="611"/>
      <c r="C118" s="611"/>
      <c r="D118" s="611"/>
      <c r="E118" s="611"/>
      <c r="F118" s="611"/>
      <c r="G118" s="611"/>
      <c r="H118" s="611"/>
      <c r="I118" s="611"/>
      <c r="J118" s="611"/>
      <c r="K118" s="611"/>
      <c r="L118" s="611"/>
      <c r="M118" s="611"/>
      <c r="N118" s="611"/>
      <c r="O118" s="611"/>
      <c r="P118" s="611"/>
      <c r="Q118" s="611"/>
      <c r="R118" s="611"/>
      <c r="S118" s="611"/>
      <c r="T118" s="611"/>
      <c r="U118" s="611"/>
      <c r="V118" s="611"/>
      <c r="W118" s="611"/>
      <c r="X118" s="611"/>
      <c r="Y118" s="611"/>
      <c r="Z118" s="611"/>
      <c r="AA118" s="611"/>
      <c r="AB118" s="611"/>
      <c r="AC118" s="611"/>
      <c r="AD118" s="611"/>
      <c r="AE118" s="611"/>
      <c r="AF118" s="611"/>
      <c r="AG118" s="611"/>
      <c r="AH118" s="611"/>
      <c r="AI118" s="611"/>
      <c r="AJ118" s="611"/>
      <c r="AK118" s="611"/>
    </row>
    <row r="119" spans="1:37">
      <c r="A119" s="611"/>
      <c r="B119" s="611"/>
      <c r="C119" s="611"/>
      <c r="D119" s="611"/>
      <c r="E119" s="611"/>
      <c r="F119" s="611"/>
      <c r="G119" s="611"/>
      <c r="H119" s="611"/>
      <c r="I119" s="611"/>
      <c r="J119" s="611"/>
      <c r="K119" s="611"/>
      <c r="L119" s="611"/>
      <c r="M119" s="611"/>
      <c r="N119" s="611"/>
      <c r="O119" s="611"/>
      <c r="P119" s="611"/>
      <c r="Q119" s="611"/>
      <c r="R119" s="611"/>
      <c r="S119" s="611"/>
      <c r="T119" s="611"/>
      <c r="U119" s="611"/>
      <c r="V119" s="611"/>
      <c r="W119" s="611"/>
      <c r="X119" s="611"/>
      <c r="Y119" s="611"/>
      <c r="Z119" s="611"/>
      <c r="AA119" s="611"/>
      <c r="AB119" s="611"/>
      <c r="AC119" s="611"/>
      <c r="AD119" s="611"/>
      <c r="AE119" s="611"/>
      <c r="AF119" s="611"/>
      <c r="AG119" s="611"/>
      <c r="AH119" s="611"/>
      <c r="AI119" s="611"/>
      <c r="AJ119" s="611"/>
      <c r="AK119" s="611"/>
    </row>
    <row r="120" spans="1:37">
      <c r="A120" s="611"/>
      <c r="B120" s="611"/>
      <c r="C120" s="611"/>
      <c r="D120" s="611"/>
      <c r="E120" s="611"/>
      <c r="F120" s="611"/>
      <c r="G120" s="611"/>
      <c r="H120" s="611"/>
      <c r="I120" s="611"/>
      <c r="J120" s="611"/>
      <c r="K120" s="611"/>
      <c r="L120" s="611"/>
      <c r="M120" s="611"/>
      <c r="N120" s="611"/>
      <c r="O120" s="611"/>
      <c r="P120" s="611"/>
      <c r="Q120" s="611"/>
      <c r="R120" s="611"/>
      <c r="S120" s="611"/>
      <c r="T120" s="611"/>
      <c r="U120" s="611"/>
      <c r="V120" s="611"/>
      <c r="W120" s="611"/>
      <c r="X120" s="611"/>
      <c r="Y120" s="611"/>
      <c r="Z120" s="611"/>
      <c r="AA120" s="611"/>
      <c r="AB120" s="611"/>
      <c r="AC120" s="611"/>
      <c r="AD120" s="611"/>
      <c r="AE120" s="611"/>
      <c r="AF120" s="611"/>
      <c r="AG120" s="611"/>
      <c r="AH120" s="611"/>
      <c r="AI120" s="611"/>
      <c r="AJ120" s="611"/>
      <c r="AK120" s="611"/>
    </row>
    <row r="121" spans="1:37">
      <c r="A121" s="611"/>
      <c r="B121" s="611"/>
      <c r="C121" s="611"/>
      <c r="D121" s="611"/>
      <c r="E121" s="611"/>
      <c r="F121" s="611"/>
      <c r="G121" s="611"/>
      <c r="H121" s="611"/>
      <c r="I121" s="611"/>
      <c r="J121" s="611"/>
      <c r="K121" s="611"/>
      <c r="L121" s="611"/>
      <c r="M121" s="611"/>
      <c r="N121" s="611"/>
      <c r="O121" s="611"/>
      <c r="P121" s="611"/>
      <c r="Q121" s="611"/>
      <c r="R121" s="611"/>
      <c r="S121" s="611"/>
      <c r="T121" s="611"/>
      <c r="U121" s="611"/>
      <c r="V121" s="611"/>
      <c r="W121" s="611"/>
      <c r="X121" s="611"/>
      <c r="Y121" s="611"/>
      <c r="Z121" s="611"/>
      <c r="AA121" s="611"/>
      <c r="AB121" s="611"/>
      <c r="AC121" s="611"/>
      <c r="AD121" s="611"/>
      <c r="AE121" s="611"/>
      <c r="AF121" s="611"/>
      <c r="AG121" s="611"/>
      <c r="AH121" s="611"/>
      <c r="AI121" s="611"/>
      <c r="AJ121" s="611"/>
      <c r="AK121" s="611"/>
    </row>
    <row r="122" spans="1:37">
      <c r="A122" s="611"/>
      <c r="B122" s="611"/>
      <c r="C122" s="611"/>
      <c r="D122" s="611"/>
      <c r="E122" s="611"/>
      <c r="F122" s="611"/>
      <c r="G122" s="611"/>
      <c r="H122" s="611"/>
      <c r="I122" s="611"/>
      <c r="J122" s="611"/>
      <c r="K122" s="611"/>
      <c r="L122" s="611"/>
      <c r="M122" s="611"/>
      <c r="N122" s="611"/>
      <c r="O122" s="611"/>
      <c r="P122" s="611"/>
      <c r="Q122" s="611"/>
      <c r="R122" s="611"/>
      <c r="S122" s="611"/>
      <c r="T122" s="611"/>
      <c r="U122" s="611"/>
      <c r="V122" s="611"/>
      <c r="W122" s="611"/>
      <c r="X122" s="611"/>
      <c r="Y122" s="611"/>
      <c r="Z122" s="611"/>
      <c r="AA122" s="611"/>
      <c r="AB122" s="611"/>
      <c r="AC122" s="611"/>
      <c r="AD122" s="611"/>
      <c r="AE122" s="611"/>
      <c r="AF122" s="611"/>
      <c r="AG122" s="611"/>
      <c r="AH122" s="611"/>
      <c r="AI122" s="611"/>
      <c r="AJ122" s="611"/>
      <c r="AK122" s="611"/>
    </row>
    <row r="123" spans="1:37">
      <c r="A123" s="611"/>
      <c r="B123" s="611"/>
      <c r="C123" s="611"/>
      <c r="D123" s="611"/>
      <c r="E123" s="611"/>
      <c r="F123" s="611"/>
      <c r="G123" s="611"/>
      <c r="H123" s="611"/>
      <c r="I123" s="611"/>
      <c r="J123" s="611"/>
      <c r="K123" s="611"/>
      <c r="L123" s="611"/>
      <c r="M123" s="611"/>
      <c r="N123" s="611"/>
      <c r="O123" s="611"/>
      <c r="P123" s="611"/>
      <c r="Q123" s="611"/>
      <c r="R123" s="611"/>
      <c r="S123" s="611"/>
      <c r="T123" s="611"/>
      <c r="U123" s="611"/>
      <c r="V123" s="611"/>
      <c r="W123" s="611"/>
      <c r="X123" s="611"/>
      <c r="Y123" s="611"/>
      <c r="Z123" s="611"/>
      <c r="AA123" s="611"/>
      <c r="AB123" s="611"/>
      <c r="AC123" s="611"/>
      <c r="AD123" s="611"/>
      <c r="AE123" s="611"/>
      <c r="AF123" s="611"/>
      <c r="AG123" s="611"/>
      <c r="AH123" s="611"/>
      <c r="AI123" s="611"/>
      <c r="AJ123" s="611"/>
      <c r="AK123" s="611"/>
    </row>
    <row r="124" spans="1:37">
      <c r="A124" s="611"/>
      <c r="B124" s="611"/>
      <c r="C124" s="611"/>
      <c r="D124" s="611"/>
      <c r="E124" s="611"/>
      <c r="F124" s="611"/>
      <c r="G124" s="611"/>
      <c r="H124" s="611"/>
      <c r="I124" s="611"/>
      <c r="J124" s="611"/>
      <c r="K124" s="611"/>
      <c r="L124" s="611"/>
      <c r="M124" s="611"/>
      <c r="N124" s="611"/>
      <c r="O124" s="611"/>
      <c r="P124" s="611"/>
      <c r="Q124" s="611"/>
      <c r="R124" s="611"/>
      <c r="S124" s="611"/>
      <c r="T124" s="611"/>
      <c r="U124" s="611"/>
      <c r="V124" s="611"/>
      <c r="W124" s="611"/>
      <c r="X124" s="611"/>
      <c r="Y124" s="611"/>
      <c r="Z124" s="611"/>
      <c r="AA124" s="611"/>
      <c r="AB124" s="611"/>
      <c r="AC124" s="611"/>
      <c r="AD124" s="611"/>
      <c r="AE124" s="611"/>
      <c r="AF124" s="611"/>
      <c r="AG124" s="611"/>
      <c r="AH124" s="611"/>
      <c r="AI124" s="611"/>
      <c r="AJ124" s="611"/>
      <c r="AK124" s="611"/>
    </row>
    <row r="125" spans="1:37">
      <c r="A125" s="611"/>
      <c r="B125" s="611"/>
      <c r="C125" s="611"/>
      <c r="D125" s="611"/>
      <c r="E125" s="611"/>
      <c r="F125" s="611"/>
      <c r="G125" s="611"/>
      <c r="H125" s="611"/>
      <c r="I125" s="611"/>
      <c r="J125" s="611"/>
      <c r="K125" s="611"/>
      <c r="L125" s="611"/>
      <c r="M125" s="611"/>
      <c r="N125" s="611"/>
      <c r="O125" s="611"/>
      <c r="P125" s="611"/>
      <c r="Q125" s="611"/>
      <c r="R125" s="611"/>
      <c r="S125" s="611"/>
      <c r="T125" s="611"/>
      <c r="U125" s="611"/>
      <c r="V125" s="611"/>
      <c r="W125" s="611"/>
      <c r="X125" s="611"/>
      <c r="Y125" s="611"/>
      <c r="Z125" s="611"/>
      <c r="AA125" s="611"/>
      <c r="AB125" s="611"/>
      <c r="AC125" s="611"/>
      <c r="AD125" s="611"/>
      <c r="AE125" s="611"/>
      <c r="AF125" s="611"/>
      <c r="AG125" s="611"/>
      <c r="AH125" s="611"/>
      <c r="AI125" s="611"/>
      <c r="AJ125" s="611"/>
      <c r="AK125" s="611"/>
    </row>
    <row r="126" spans="1:37">
      <c r="A126" s="611"/>
      <c r="B126" s="611"/>
      <c r="C126" s="611"/>
      <c r="D126" s="611"/>
      <c r="E126" s="611"/>
      <c r="F126" s="611"/>
      <c r="G126" s="611"/>
      <c r="H126" s="611"/>
      <c r="I126" s="611"/>
      <c r="J126" s="611"/>
      <c r="K126" s="611"/>
      <c r="L126" s="611"/>
      <c r="M126" s="611"/>
      <c r="N126" s="611"/>
      <c r="O126" s="611"/>
      <c r="P126" s="611"/>
      <c r="Q126" s="611"/>
      <c r="R126" s="611"/>
      <c r="S126" s="611"/>
      <c r="T126" s="611"/>
      <c r="U126" s="611"/>
      <c r="V126" s="611"/>
      <c r="W126" s="611"/>
      <c r="X126" s="611"/>
      <c r="Y126" s="611"/>
      <c r="Z126" s="611"/>
      <c r="AA126" s="611"/>
      <c r="AB126" s="611"/>
      <c r="AC126" s="611"/>
      <c r="AD126" s="611"/>
      <c r="AE126" s="611"/>
      <c r="AF126" s="611"/>
      <c r="AG126" s="611"/>
      <c r="AH126" s="611"/>
      <c r="AI126" s="611"/>
      <c r="AJ126" s="611"/>
      <c r="AK126" s="611"/>
    </row>
    <row r="127" spans="1:37">
      <c r="A127" s="611"/>
      <c r="B127" s="611"/>
      <c r="C127" s="611"/>
      <c r="D127" s="611"/>
      <c r="E127" s="611"/>
      <c r="F127" s="611"/>
      <c r="G127" s="611"/>
      <c r="H127" s="611"/>
      <c r="I127" s="611"/>
      <c r="J127" s="611"/>
      <c r="K127" s="611"/>
      <c r="L127" s="611"/>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11"/>
      <c r="AK127" s="611"/>
    </row>
    <row r="128" spans="1:37">
      <c r="A128" s="611"/>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row>
    <row r="129" spans="1:37">
      <c r="A129" s="611"/>
      <c r="B129" s="611"/>
      <c r="C129" s="611"/>
      <c r="D129" s="611"/>
      <c r="E129" s="611"/>
      <c r="F129" s="611"/>
      <c r="G129" s="611"/>
      <c r="H129" s="611"/>
      <c r="I129" s="611"/>
      <c r="J129" s="611"/>
      <c r="K129" s="611"/>
      <c r="L129" s="611"/>
      <c r="M129" s="611"/>
      <c r="N129" s="611"/>
      <c r="O129" s="611"/>
      <c r="P129" s="611"/>
      <c r="Q129" s="611"/>
      <c r="R129" s="611"/>
      <c r="S129" s="611"/>
      <c r="T129" s="611"/>
      <c r="U129" s="611"/>
      <c r="V129" s="611"/>
      <c r="W129" s="611"/>
      <c r="X129" s="611"/>
      <c r="Y129" s="611"/>
      <c r="Z129" s="611"/>
      <c r="AA129" s="611"/>
      <c r="AB129" s="611"/>
      <c r="AC129" s="611"/>
      <c r="AD129" s="611"/>
      <c r="AE129" s="611"/>
      <c r="AF129" s="611"/>
      <c r="AG129" s="611"/>
      <c r="AH129" s="611"/>
      <c r="AI129" s="611"/>
      <c r="AJ129" s="611"/>
      <c r="AK129" s="611"/>
    </row>
    <row r="130" spans="1:37">
      <c r="A130" s="611"/>
      <c r="B130" s="611"/>
      <c r="C130" s="611"/>
      <c r="D130" s="611"/>
      <c r="E130" s="611"/>
      <c r="F130" s="611"/>
      <c r="G130" s="611"/>
      <c r="H130" s="611"/>
      <c r="I130" s="611"/>
      <c r="J130" s="611"/>
      <c r="K130" s="611"/>
      <c r="L130" s="611"/>
      <c r="M130" s="611"/>
      <c r="N130" s="611"/>
      <c r="O130" s="611"/>
      <c r="P130" s="611"/>
      <c r="Q130" s="611"/>
      <c r="R130" s="611"/>
      <c r="S130" s="611"/>
      <c r="T130" s="611"/>
      <c r="U130" s="611"/>
      <c r="V130" s="611"/>
      <c r="W130" s="611"/>
      <c r="X130" s="611"/>
      <c r="Y130" s="611"/>
      <c r="Z130" s="611"/>
      <c r="AA130" s="611"/>
      <c r="AB130" s="611"/>
      <c r="AC130" s="611"/>
      <c r="AD130" s="611"/>
      <c r="AE130" s="611"/>
      <c r="AF130" s="611"/>
      <c r="AG130" s="611"/>
      <c r="AH130" s="611"/>
      <c r="AI130" s="611"/>
      <c r="AJ130" s="611"/>
      <c r="AK130" s="611"/>
    </row>
    <row r="131" spans="1:37">
      <c r="A131" s="611"/>
      <c r="B131" s="611"/>
      <c r="C131" s="611"/>
      <c r="D131" s="611"/>
      <c r="E131" s="611"/>
      <c r="F131" s="611"/>
      <c r="G131" s="611"/>
      <c r="H131" s="611"/>
      <c r="I131" s="611"/>
      <c r="J131" s="611"/>
      <c r="K131" s="611"/>
      <c r="L131" s="611"/>
      <c r="M131" s="611"/>
      <c r="N131" s="611"/>
      <c r="O131" s="611"/>
      <c r="P131" s="611"/>
      <c r="Q131" s="611"/>
      <c r="R131" s="611"/>
      <c r="S131" s="611"/>
      <c r="T131" s="611"/>
      <c r="U131" s="611"/>
      <c r="V131" s="611"/>
      <c r="W131" s="611"/>
      <c r="X131" s="611"/>
      <c r="Y131" s="611"/>
      <c r="Z131" s="611"/>
      <c r="AA131" s="611"/>
      <c r="AB131" s="611"/>
      <c r="AC131" s="611"/>
      <c r="AD131" s="611"/>
      <c r="AE131" s="611"/>
      <c r="AF131" s="611"/>
      <c r="AG131" s="611"/>
      <c r="AH131" s="611"/>
      <c r="AI131" s="611"/>
      <c r="AJ131" s="611"/>
      <c r="AK131" s="611"/>
    </row>
    <row r="132" spans="1:37">
      <c r="A132" s="611"/>
      <c r="B132" s="611"/>
      <c r="C132" s="611"/>
      <c r="D132" s="611"/>
      <c r="E132" s="611"/>
      <c r="F132" s="611"/>
      <c r="G132" s="611"/>
      <c r="H132" s="611"/>
      <c r="I132" s="611"/>
      <c r="J132" s="611"/>
      <c r="K132" s="611"/>
      <c r="L132" s="611"/>
      <c r="M132" s="611"/>
      <c r="N132" s="611"/>
      <c r="O132" s="611"/>
      <c r="P132" s="611"/>
      <c r="Q132" s="611"/>
      <c r="R132" s="611"/>
      <c r="S132" s="611"/>
      <c r="T132" s="611"/>
      <c r="U132" s="611"/>
      <c r="V132" s="611"/>
      <c r="W132" s="611"/>
      <c r="X132" s="611"/>
      <c r="Y132" s="611"/>
      <c r="Z132" s="611"/>
      <c r="AA132" s="611"/>
      <c r="AB132" s="611"/>
      <c r="AC132" s="611"/>
      <c r="AD132" s="611"/>
      <c r="AE132" s="611"/>
      <c r="AF132" s="611"/>
      <c r="AG132" s="611"/>
      <c r="AH132" s="611"/>
      <c r="AI132" s="611"/>
      <c r="AJ132" s="611"/>
      <c r="AK132" s="611"/>
    </row>
    <row r="133" spans="1:37">
      <c r="A133" s="611"/>
      <c r="B133" s="611"/>
      <c r="C133" s="611"/>
      <c r="D133" s="611"/>
      <c r="E133" s="611"/>
      <c r="F133" s="611"/>
      <c r="G133" s="611"/>
      <c r="H133" s="611"/>
      <c r="I133" s="611"/>
      <c r="J133" s="611"/>
      <c r="K133" s="611"/>
      <c r="L133" s="611"/>
      <c r="M133" s="611"/>
      <c r="N133" s="611"/>
      <c r="O133" s="611"/>
      <c r="P133" s="611"/>
      <c r="Q133" s="611"/>
      <c r="R133" s="611"/>
      <c r="S133" s="611"/>
      <c r="T133" s="611"/>
      <c r="U133" s="611"/>
      <c r="V133" s="611"/>
      <c r="W133" s="611"/>
      <c r="X133" s="611"/>
      <c r="Y133" s="611"/>
      <c r="Z133" s="611"/>
      <c r="AA133" s="611"/>
      <c r="AB133" s="611"/>
      <c r="AC133" s="611"/>
      <c r="AD133" s="611"/>
      <c r="AE133" s="611"/>
      <c r="AF133" s="611"/>
      <c r="AG133" s="611"/>
      <c r="AH133" s="611"/>
      <c r="AI133" s="611"/>
      <c r="AJ133" s="611"/>
      <c r="AK133" s="611"/>
    </row>
    <row r="134" spans="1:37">
      <c r="A134" s="611"/>
      <c r="B134" s="611"/>
      <c r="C134" s="611"/>
      <c r="D134" s="611"/>
      <c r="E134" s="611"/>
      <c r="F134" s="611"/>
      <c r="G134" s="611"/>
      <c r="H134" s="611"/>
      <c r="I134" s="611"/>
      <c r="J134" s="611"/>
      <c r="K134" s="611"/>
      <c r="L134" s="611"/>
      <c r="M134" s="611"/>
      <c r="N134" s="611"/>
      <c r="O134" s="611"/>
      <c r="P134" s="611"/>
      <c r="Q134" s="611"/>
      <c r="R134" s="611"/>
      <c r="S134" s="611"/>
      <c r="T134" s="611"/>
      <c r="U134" s="611"/>
      <c r="V134" s="611"/>
      <c r="W134" s="611"/>
      <c r="X134" s="611"/>
      <c r="Y134" s="611"/>
      <c r="Z134" s="611"/>
      <c r="AA134" s="611"/>
      <c r="AB134" s="611"/>
      <c r="AC134" s="611"/>
      <c r="AD134" s="611"/>
      <c r="AE134" s="611"/>
      <c r="AF134" s="611"/>
      <c r="AG134" s="611"/>
      <c r="AH134" s="611"/>
      <c r="AI134" s="611"/>
      <c r="AJ134" s="611"/>
      <c r="AK134" s="611"/>
    </row>
    <row r="135" spans="1:37">
      <c r="A135" s="611"/>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row>
    <row r="136" spans="1:37">
      <c r="A136" s="611"/>
      <c r="B136" s="611"/>
      <c r="C136" s="611"/>
      <c r="D136" s="611"/>
      <c r="E136" s="611"/>
      <c r="F136" s="611"/>
      <c r="G136" s="611"/>
      <c r="H136" s="611"/>
      <c r="I136" s="611"/>
      <c r="J136" s="611"/>
      <c r="K136" s="611"/>
      <c r="L136" s="611"/>
      <c r="M136" s="611"/>
      <c r="N136" s="611"/>
      <c r="O136" s="611"/>
      <c r="P136" s="611"/>
      <c r="Q136" s="611"/>
      <c r="R136" s="611"/>
      <c r="S136" s="611"/>
      <c r="T136" s="611"/>
      <c r="U136" s="611"/>
      <c r="V136" s="611"/>
      <c r="W136" s="611"/>
      <c r="X136" s="611"/>
      <c r="Y136" s="611"/>
      <c r="Z136" s="611"/>
      <c r="AA136" s="611"/>
      <c r="AB136" s="611"/>
      <c r="AC136" s="611"/>
      <c r="AD136" s="611"/>
      <c r="AE136" s="611"/>
      <c r="AF136" s="611"/>
      <c r="AG136" s="611"/>
      <c r="AH136" s="611"/>
      <c r="AI136" s="611"/>
      <c r="AJ136" s="611"/>
      <c r="AK136" s="611"/>
    </row>
    <row r="137" spans="1:37">
      <c r="A137" s="611"/>
      <c r="B137" s="611"/>
      <c r="C137" s="611"/>
      <c r="D137" s="611"/>
      <c r="E137" s="611"/>
      <c r="F137" s="611"/>
      <c r="G137" s="611"/>
      <c r="H137" s="611"/>
      <c r="I137" s="611"/>
      <c r="J137" s="611"/>
      <c r="K137" s="611"/>
      <c r="L137" s="611"/>
      <c r="M137" s="611"/>
      <c r="N137" s="611"/>
      <c r="O137" s="611"/>
      <c r="P137" s="611"/>
      <c r="Q137" s="611"/>
      <c r="R137" s="611"/>
      <c r="S137" s="611"/>
      <c r="T137" s="611"/>
      <c r="U137" s="611"/>
      <c r="V137" s="611"/>
      <c r="W137" s="611"/>
      <c r="X137" s="611"/>
      <c r="Y137" s="611"/>
      <c r="Z137" s="611"/>
      <c r="AA137" s="611"/>
      <c r="AB137" s="611"/>
      <c r="AC137" s="611"/>
      <c r="AD137" s="611"/>
      <c r="AE137" s="611"/>
      <c r="AF137" s="611"/>
      <c r="AG137" s="611"/>
      <c r="AH137" s="611"/>
      <c r="AI137" s="611"/>
      <c r="AJ137" s="611"/>
      <c r="AK137" s="611"/>
    </row>
    <row r="138" spans="1:37">
      <c r="A138" s="611"/>
      <c r="B138" s="611"/>
      <c r="C138" s="611"/>
      <c r="D138" s="611"/>
      <c r="E138" s="611"/>
      <c r="F138" s="611"/>
      <c r="G138" s="611"/>
      <c r="H138" s="611"/>
      <c r="I138" s="611"/>
      <c r="J138" s="611"/>
      <c r="K138" s="611"/>
      <c r="L138" s="611"/>
      <c r="M138" s="611"/>
      <c r="N138" s="611"/>
      <c r="O138" s="611"/>
      <c r="P138" s="611"/>
      <c r="Q138" s="611"/>
      <c r="R138" s="611"/>
      <c r="S138" s="611"/>
      <c r="T138" s="611"/>
      <c r="U138" s="611"/>
      <c r="V138" s="611"/>
      <c r="W138" s="611"/>
      <c r="X138" s="611"/>
      <c r="Y138" s="611"/>
      <c r="Z138" s="611"/>
      <c r="AA138" s="611"/>
      <c r="AB138" s="611"/>
      <c r="AC138" s="611"/>
      <c r="AD138" s="611"/>
      <c r="AE138" s="611"/>
      <c r="AF138" s="611"/>
      <c r="AG138" s="611"/>
      <c r="AH138" s="611"/>
      <c r="AI138" s="611"/>
      <c r="AJ138" s="611"/>
      <c r="AK138" s="611"/>
    </row>
    <row r="139" spans="1:37">
      <c r="A139" s="611"/>
      <c r="B139" s="611"/>
      <c r="C139" s="611"/>
      <c r="D139" s="611"/>
      <c r="E139" s="611"/>
      <c r="F139" s="611"/>
      <c r="G139" s="611"/>
      <c r="H139" s="611"/>
      <c r="I139" s="611"/>
      <c r="J139" s="611"/>
      <c r="K139" s="611"/>
      <c r="L139" s="611"/>
      <c r="M139" s="611"/>
      <c r="N139" s="611"/>
      <c r="O139" s="611"/>
      <c r="P139" s="611"/>
      <c r="Q139" s="611"/>
      <c r="R139" s="611"/>
      <c r="S139" s="611"/>
      <c r="T139" s="611"/>
      <c r="U139" s="611"/>
      <c r="V139" s="611"/>
      <c r="W139" s="611"/>
      <c r="X139" s="611"/>
      <c r="Y139" s="611"/>
      <c r="Z139" s="611"/>
      <c r="AA139" s="611"/>
      <c r="AB139" s="611"/>
      <c r="AC139" s="611"/>
      <c r="AD139" s="611"/>
      <c r="AE139" s="611"/>
      <c r="AF139" s="611"/>
      <c r="AG139" s="611"/>
      <c r="AH139" s="611"/>
      <c r="AI139" s="611"/>
      <c r="AJ139" s="611"/>
      <c r="AK139" s="611"/>
    </row>
    <row r="140" spans="1:37">
      <c r="A140" s="611"/>
      <c r="B140" s="611"/>
      <c r="C140" s="611"/>
      <c r="D140" s="611"/>
      <c r="E140" s="611"/>
      <c r="F140" s="611"/>
      <c r="G140" s="611"/>
      <c r="H140" s="611"/>
      <c r="I140" s="611"/>
      <c r="J140" s="611"/>
      <c r="K140" s="611"/>
      <c r="L140" s="611"/>
      <c r="M140" s="611"/>
      <c r="N140" s="611"/>
      <c r="O140" s="611"/>
      <c r="P140" s="611"/>
      <c r="Q140" s="611"/>
      <c r="R140" s="611"/>
      <c r="S140" s="611"/>
      <c r="T140" s="611"/>
      <c r="U140" s="611"/>
      <c r="V140" s="611"/>
      <c r="W140" s="611"/>
      <c r="X140" s="611"/>
      <c r="Y140" s="611"/>
      <c r="Z140" s="611"/>
      <c r="AA140" s="611"/>
      <c r="AB140" s="611"/>
      <c r="AC140" s="611"/>
      <c r="AD140" s="611"/>
      <c r="AE140" s="611"/>
      <c r="AF140" s="611"/>
      <c r="AG140" s="611"/>
      <c r="AH140" s="611"/>
      <c r="AI140" s="611"/>
      <c r="AJ140" s="611"/>
      <c r="AK140" s="611"/>
    </row>
    <row r="141" spans="1:37">
      <c r="A141" s="611"/>
      <c r="B141" s="611"/>
      <c r="C141" s="611"/>
      <c r="D141" s="611"/>
      <c r="E141" s="611"/>
      <c r="F141" s="611"/>
      <c r="G141" s="611"/>
      <c r="H141" s="611"/>
      <c r="I141" s="611"/>
      <c r="J141" s="611"/>
      <c r="K141" s="611"/>
      <c r="L141" s="611"/>
      <c r="M141" s="611"/>
      <c r="N141" s="611"/>
      <c r="O141" s="611"/>
      <c r="P141" s="611"/>
      <c r="Q141" s="611"/>
      <c r="R141" s="611"/>
      <c r="S141" s="611"/>
      <c r="T141" s="611"/>
      <c r="U141" s="611"/>
      <c r="V141" s="611"/>
      <c r="W141" s="611"/>
      <c r="X141" s="611"/>
      <c r="Y141" s="611"/>
      <c r="Z141" s="611"/>
      <c r="AA141" s="611"/>
      <c r="AB141" s="611"/>
      <c r="AC141" s="611"/>
      <c r="AD141" s="611"/>
      <c r="AE141" s="611"/>
      <c r="AF141" s="611"/>
      <c r="AG141" s="611"/>
      <c r="AH141" s="611"/>
      <c r="AI141" s="611"/>
      <c r="AJ141" s="611"/>
      <c r="AK141" s="611"/>
    </row>
    <row r="142" spans="1:37">
      <c r="A142" s="611"/>
      <c r="B142" s="611"/>
      <c r="C142" s="611"/>
      <c r="D142" s="611"/>
      <c r="E142" s="611"/>
      <c r="F142" s="611"/>
      <c r="G142" s="611"/>
      <c r="H142" s="611"/>
      <c r="I142" s="611"/>
      <c r="J142" s="611"/>
      <c r="K142" s="611"/>
      <c r="L142" s="611"/>
      <c r="M142" s="611"/>
      <c r="N142" s="611"/>
      <c r="O142" s="611"/>
      <c r="P142" s="611"/>
      <c r="Q142" s="611"/>
      <c r="R142" s="611"/>
      <c r="S142" s="611"/>
      <c r="T142" s="611"/>
      <c r="U142" s="611"/>
      <c r="V142" s="611"/>
      <c r="W142" s="611"/>
      <c r="X142" s="611"/>
      <c r="Y142" s="611"/>
      <c r="Z142" s="611"/>
      <c r="AA142" s="611"/>
      <c r="AB142" s="611"/>
      <c r="AC142" s="611"/>
      <c r="AD142" s="611"/>
      <c r="AE142" s="611"/>
      <c r="AF142" s="611"/>
      <c r="AG142" s="611"/>
      <c r="AH142" s="611"/>
      <c r="AI142" s="611"/>
      <c r="AJ142" s="611"/>
      <c r="AK142" s="611"/>
    </row>
    <row r="143" spans="1:37">
      <c r="A143" s="611"/>
      <c r="B143" s="611"/>
      <c r="C143" s="611"/>
      <c r="D143" s="611"/>
      <c r="E143" s="611"/>
      <c r="F143" s="611"/>
      <c r="G143" s="611"/>
      <c r="H143" s="611"/>
      <c r="I143" s="611"/>
      <c r="J143" s="611"/>
      <c r="K143" s="611"/>
      <c r="L143" s="611"/>
      <c r="M143" s="611"/>
      <c r="N143" s="611"/>
      <c r="O143" s="611"/>
      <c r="P143" s="611"/>
      <c r="Q143" s="611"/>
      <c r="R143" s="611"/>
      <c r="S143" s="611"/>
      <c r="T143" s="611"/>
      <c r="U143" s="611"/>
      <c r="V143" s="611"/>
      <c r="W143" s="611"/>
      <c r="X143" s="611"/>
      <c r="Y143" s="611"/>
      <c r="Z143" s="611"/>
      <c r="AA143" s="611"/>
      <c r="AB143" s="611"/>
      <c r="AC143" s="611"/>
      <c r="AD143" s="611"/>
      <c r="AE143" s="611"/>
      <c r="AF143" s="611"/>
      <c r="AG143" s="611"/>
      <c r="AH143" s="611"/>
      <c r="AI143" s="611"/>
      <c r="AJ143" s="611"/>
      <c r="AK143" s="611"/>
    </row>
    <row r="144" spans="1:37">
      <c r="A144" s="611"/>
      <c r="B144" s="611"/>
      <c r="C144" s="611"/>
      <c r="D144" s="611"/>
      <c r="E144" s="611"/>
      <c r="F144" s="611"/>
      <c r="G144" s="611"/>
      <c r="H144" s="611"/>
      <c r="I144" s="611"/>
      <c r="J144" s="611"/>
      <c r="K144" s="611"/>
      <c r="L144" s="611"/>
      <c r="M144" s="611"/>
      <c r="N144" s="611"/>
      <c r="O144" s="611"/>
      <c r="P144" s="611"/>
      <c r="Q144" s="611"/>
      <c r="R144" s="611"/>
      <c r="S144" s="611"/>
      <c r="T144" s="611"/>
      <c r="U144" s="611"/>
      <c r="V144" s="611"/>
      <c r="W144" s="611"/>
      <c r="X144" s="611"/>
      <c r="Y144" s="611"/>
      <c r="Z144" s="611"/>
      <c r="AA144" s="611"/>
      <c r="AB144" s="611"/>
      <c r="AC144" s="611"/>
      <c r="AD144" s="611"/>
      <c r="AE144" s="611"/>
      <c r="AF144" s="611"/>
      <c r="AG144" s="611"/>
      <c r="AH144" s="611"/>
      <c r="AI144" s="611"/>
      <c r="AJ144" s="611"/>
      <c r="AK144" s="611"/>
    </row>
    <row r="145" spans="1:37">
      <c r="A145" s="611"/>
      <c r="B145" s="611"/>
      <c r="C145" s="611"/>
      <c r="D145" s="611"/>
      <c r="E145" s="611"/>
      <c r="F145" s="611"/>
      <c r="G145" s="611"/>
      <c r="H145" s="611"/>
      <c r="I145" s="611"/>
      <c r="J145" s="611"/>
      <c r="K145" s="611"/>
      <c r="L145" s="611"/>
      <c r="M145" s="611"/>
      <c r="N145" s="611"/>
      <c r="O145" s="611"/>
      <c r="P145" s="611"/>
      <c r="Q145" s="611"/>
      <c r="R145" s="611"/>
      <c r="S145" s="611"/>
      <c r="T145" s="611"/>
      <c r="U145" s="611"/>
      <c r="V145" s="611"/>
      <c r="W145" s="611"/>
      <c r="X145" s="611"/>
      <c r="Y145" s="611"/>
      <c r="Z145" s="611"/>
      <c r="AA145" s="611"/>
      <c r="AB145" s="611"/>
      <c r="AC145" s="611"/>
      <c r="AD145" s="611"/>
      <c r="AE145" s="611"/>
      <c r="AF145" s="611"/>
      <c r="AG145" s="611"/>
      <c r="AH145" s="611"/>
      <c r="AI145" s="611"/>
      <c r="AJ145" s="611"/>
      <c r="AK145" s="611"/>
    </row>
    <row r="146" spans="1:37">
      <c r="A146" s="611"/>
      <c r="B146" s="611"/>
      <c r="C146" s="611"/>
      <c r="D146" s="611"/>
      <c r="E146" s="611"/>
      <c r="F146" s="611"/>
      <c r="G146" s="611"/>
      <c r="H146" s="611"/>
      <c r="I146" s="611"/>
      <c r="J146" s="611"/>
      <c r="K146" s="611"/>
      <c r="L146" s="611"/>
      <c r="M146" s="611"/>
      <c r="N146" s="611"/>
      <c r="O146" s="611"/>
      <c r="P146" s="611"/>
      <c r="Q146" s="611"/>
      <c r="R146" s="611"/>
      <c r="S146" s="611"/>
      <c r="T146" s="611"/>
      <c r="U146" s="611"/>
      <c r="V146" s="611"/>
      <c r="W146" s="611"/>
      <c r="X146" s="611"/>
      <c r="Y146" s="611"/>
      <c r="Z146" s="611"/>
      <c r="AA146" s="611"/>
      <c r="AB146" s="611"/>
      <c r="AC146" s="611"/>
      <c r="AD146" s="611"/>
      <c r="AE146" s="611"/>
      <c r="AF146" s="611"/>
      <c r="AG146" s="611"/>
      <c r="AH146" s="611"/>
      <c r="AI146" s="611"/>
      <c r="AJ146" s="611"/>
      <c r="AK146" s="611"/>
    </row>
    <row r="147" spans="1:37">
      <c r="A147" s="611"/>
      <c r="B147" s="611"/>
      <c r="C147" s="611"/>
      <c r="D147" s="611"/>
      <c r="E147" s="611"/>
      <c r="F147" s="611"/>
      <c r="G147" s="611"/>
      <c r="H147" s="611"/>
      <c r="I147" s="611"/>
      <c r="J147" s="611"/>
      <c r="K147" s="611"/>
      <c r="L147" s="611"/>
      <c r="M147" s="611"/>
      <c r="N147" s="611"/>
      <c r="O147" s="611"/>
      <c r="P147" s="611"/>
      <c r="Q147" s="611"/>
      <c r="R147" s="611"/>
      <c r="S147" s="611"/>
      <c r="T147" s="611"/>
      <c r="U147" s="611"/>
      <c r="V147" s="611"/>
      <c r="W147" s="611"/>
      <c r="X147" s="611"/>
      <c r="Y147" s="611"/>
      <c r="Z147" s="611"/>
      <c r="AA147" s="611"/>
      <c r="AB147" s="611"/>
      <c r="AC147" s="611"/>
      <c r="AD147" s="611"/>
      <c r="AE147" s="611"/>
      <c r="AF147" s="611"/>
      <c r="AG147" s="611"/>
      <c r="AH147" s="611"/>
      <c r="AI147" s="611"/>
      <c r="AJ147" s="611"/>
      <c r="AK147" s="611"/>
    </row>
    <row r="148" spans="1:37">
      <c r="A148" s="611"/>
      <c r="B148" s="611"/>
      <c r="C148" s="611"/>
      <c r="D148" s="611"/>
      <c r="E148" s="611"/>
      <c r="F148" s="611"/>
      <c r="G148" s="611"/>
      <c r="H148" s="611"/>
      <c r="I148" s="611"/>
      <c r="J148" s="611"/>
      <c r="K148" s="611"/>
      <c r="L148" s="611"/>
      <c r="M148" s="611"/>
      <c r="N148" s="611"/>
      <c r="O148" s="611"/>
      <c r="P148" s="611"/>
      <c r="Q148" s="611"/>
      <c r="R148" s="611"/>
      <c r="S148" s="611"/>
      <c r="T148" s="611"/>
      <c r="U148" s="611"/>
      <c r="V148" s="611"/>
      <c r="W148" s="611"/>
      <c r="X148" s="611"/>
      <c r="Y148" s="611"/>
      <c r="Z148" s="611"/>
      <c r="AA148" s="611"/>
      <c r="AB148" s="611"/>
      <c r="AC148" s="611"/>
      <c r="AD148" s="611"/>
      <c r="AE148" s="611"/>
      <c r="AF148" s="611"/>
      <c r="AG148" s="611"/>
      <c r="AH148" s="611"/>
      <c r="AI148" s="611"/>
      <c r="AJ148" s="611"/>
      <c r="AK148" s="611"/>
    </row>
    <row r="149" spans="1:37">
      <c r="A149" s="611"/>
      <c r="B149" s="611"/>
      <c r="C149" s="611"/>
      <c r="D149" s="611"/>
      <c r="E149" s="611"/>
      <c r="F149" s="611"/>
      <c r="G149" s="611"/>
      <c r="H149" s="611"/>
      <c r="I149" s="611"/>
      <c r="J149" s="611"/>
      <c r="K149" s="611"/>
      <c r="L149" s="611"/>
      <c r="M149" s="611"/>
      <c r="N149" s="611"/>
      <c r="O149" s="611"/>
      <c r="P149" s="611"/>
      <c r="Q149" s="611"/>
      <c r="R149" s="611"/>
      <c r="S149" s="611"/>
      <c r="T149" s="611"/>
      <c r="U149" s="611"/>
      <c r="V149" s="611"/>
      <c r="W149" s="611"/>
      <c r="X149" s="611"/>
      <c r="Y149" s="611"/>
      <c r="Z149" s="611"/>
      <c r="AA149" s="611"/>
      <c r="AB149" s="611"/>
      <c r="AC149" s="611"/>
      <c r="AD149" s="611"/>
      <c r="AE149" s="611"/>
      <c r="AF149" s="611"/>
      <c r="AG149" s="611"/>
      <c r="AH149" s="611"/>
      <c r="AI149" s="611"/>
      <c r="AJ149" s="611"/>
      <c r="AK149" s="611"/>
    </row>
    <row r="150" spans="1:37">
      <c r="A150" s="611"/>
      <c r="B150" s="611"/>
      <c r="C150" s="611"/>
      <c r="D150" s="611"/>
      <c r="E150" s="611"/>
      <c r="F150" s="611"/>
      <c r="G150" s="611"/>
      <c r="H150" s="611"/>
      <c r="I150" s="611"/>
      <c r="J150" s="611"/>
      <c r="K150" s="611"/>
      <c r="L150" s="611"/>
      <c r="M150" s="611"/>
      <c r="N150" s="611"/>
      <c r="O150" s="611"/>
      <c r="P150" s="611"/>
      <c r="Q150" s="611"/>
      <c r="R150" s="611"/>
      <c r="S150" s="611"/>
      <c r="T150" s="611"/>
      <c r="U150" s="611"/>
      <c r="V150" s="611"/>
      <c r="W150" s="611"/>
      <c r="X150" s="611"/>
      <c r="Y150" s="611"/>
      <c r="Z150" s="611"/>
      <c r="AA150" s="611"/>
      <c r="AB150" s="611"/>
      <c r="AC150" s="611"/>
      <c r="AD150" s="611"/>
      <c r="AE150" s="611"/>
      <c r="AF150" s="611"/>
      <c r="AG150" s="611"/>
      <c r="AH150" s="611"/>
      <c r="AI150" s="611"/>
      <c r="AJ150" s="611"/>
      <c r="AK150" s="611"/>
    </row>
    <row r="151" spans="1:37">
      <c r="A151" s="611"/>
      <c r="B151" s="611"/>
      <c r="C151" s="611"/>
      <c r="D151" s="611"/>
      <c r="E151" s="611"/>
      <c r="F151" s="611"/>
      <c r="G151" s="611"/>
      <c r="H151" s="611"/>
      <c r="I151" s="611"/>
      <c r="J151" s="611"/>
      <c r="K151" s="611"/>
      <c r="L151" s="611"/>
      <c r="M151" s="611"/>
      <c r="N151" s="611"/>
      <c r="O151" s="611"/>
      <c r="P151" s="611"/>
      <c r="Q151" s="611"/>
      <c r="R151" s="611"/>
      <c r="S151" s="611"/>
      <c r="T151" s="611"/>
      <c r="U151" s="611"/>
      <c r="V151" s="611"/>
      <c r="W151" s="611"/>
      <c r="X151" s="611"/>
      <c r="Y151" s="611"/>
      <c r="Z151" s="611"/>
      <c r="AA151" s="611"/>
      <c r="AB151" s="611"/>
      <c r="AC151" s="611"/>
      <c r="AD151" s="611"/>
      <c r="AE151" s="611"/>
      <c r="AF151" s="611"/>
      <c r="AG151" s="611"/>
      <c r="AH151" s="611"/>
      <c r="AI151" s="611"/>
      <c r="AJ151" s="611"/>
      <c r="AK151" s="611"/>
    </row>
    <row r="152" spans="1:37">
      <c r="A152" s="611"/>
      <c r="B152" s="611"/>
      <c r="C152" s="611"/>
      <c r="D152" s="611"/>
      <c r="E152" s="611"/>
      <c r="F152" s="611"/>
      <c r="G152" s="611"/>
      <c r="H152" s="611"/>
      <c r="I152" s="611"/>
      <c r="J152" s="611"/>
      <c r="K152" s="611"/>
      <c r="L152" s="611"/>
      <c r="M152" s="611"/>
      <c r="N152" s="611"/>
      <c r="O152" s="611"/>
      <c r="P152" s="611"/>
      <c r="Q152" s="611"/>
      <c r="R152" s="611"/>
      <c r="S152" s="611"/>
      <c r="T152" s="611"/>
      <c r="U152" s="611"/>
      <c r="V152" s="611"/>
      <c r="W152" s="611"/>
      <c r="X152" s="611"/>
      <c r="Y152" s="611"/>
      <c r="Z152" s="611"/>
      <c r="AA152" s="611"/>
      <c r="AB152" s="611"/>
      <c r="AC152" s="611"/>
      <c r="AD152" s="611"/>
      <c r="AE152" s="611"/>
      <c r="AF152" s="611"/>
      <c r="AG152" s="611"/>
      <c r="AH152" s="611"/>
      <c r="AI152" s="611"/>
      <c r="AJ152" s="611"/>
      <c r="AK152" s="611"/>
    </row>
    <row r="153" spans="1:37">
      <c r="A153" s="611"/>
      <c r="B153" s="611"/>
      <c r="C153" s="611"/>
      <c r="D153" s="611"/>
      <c r="E153" s="611"/>
      <c r="F153" s="611"/>
      <c r="G153" s="611"/>
      <c r="H153" s="611"/>
      <c r="I153" s="611"/>
      <c r="J153" s="611"/>
      <c r="K153" s="611"/>
      <c r="L153" s="611"/>
      <c r="M153" s="611"/>
      <c r="N153" s="611"/>
      <c r="O153" s="611"/>
      <c r="P153" s="611"/>
      <c r="Q153" s="611"/>
      <c r="R153" s="611"/>
      <c r="S153" s="611"/>
      <c r="T153" s="611"/>
      <c r="U153" s="611"/>
      <c r="V153" s="611"/>
      <c r="W153" s="611"/>
      <c r="X153" s="611"/>
      <c r="Y153" s="611"/>
      <c r="Z153" s="611"/>
      <c r="AA153" s="611"/>
      <c r="AB153" s="611"/>
      <c r="AC153" s="611"/>
      <c r="AD153" s="611"/>
      <c r="AE153" s="611"/>
      <c r="AF153" s="611"/>
      <c r="AG153" s="611"/>
      <c r="AH153" s="611"/>
      <c r="AI153" s="611"/>
      <c r="AJ153" s="611"/>
      <c r="AK153" s="611"/>
    </row>
    <row r="154" spans="1:37">
      <c r="A154" s="611"/>
      <c r="B154" s="611"/>
      <c r="C154" s="611"/>
      <c r="D154" s="611"/>
      <c r="E154" s="611"/>
      <c r="F154" s="611"/>
      <c r="G154" s="611"/>
      <c r="H154" s="611"/>
      <c r="I154" s="611"/>
      <c r="J154" s="611"/>
      <c r="K154" s="611"/>
      <c r="L154" s="611"/>
      <c r="M154" s="611"/>
      <c r="N154" s="611"/>
      <c r="O154" s="611"/>
      <c r="P154" s="611"/>
      <c r="Q154" s="611"/>
      <c r="R154" s="611"/>
      <c r="S154" s="611"/>
      <c r="T154" s="611"/>
      <c r="U154" s="611"/>
      <c r="V154" s="611"/>
      <c r="W154" s="611"/>
      <c r="X154" s="611"/>
      <c r="Y154" s="611"/>
      <c r="Z154" s="611"/>
      <c r="AA154" s="611"/>
      <c r="AB154" s="611"/>
      <c r="AC154" s="611"/>
      <c r="AD154" s="611"/>
      <c r="AE154" s="611"/>
      <c r="AF154" s="611"/>
      <c r="AG154" s="611"/>
      <c r="AH154" s="611"/>
      <c r="AI154" s="611"/>
      <c r="AJ154" s="611"/>
      <c r="AK154" s="611"/>
    </row>
    <row r="155" spans="1:37">
      <c r="A155" s="611"/>
      <c r="B155" s="611"/>
      <c r="C155" s="611"/>
      <c r="D155" s="611"/>
      <c r="E155" s="611"/>
      <c r="F155" s="611"/>
      <c r="G155" s="611"/>
      <c r="H155" s="611"/>
      <c r="I155" s="611"/>
      <c r="J155" s="611"/>
      <c r="K155" s="611"/>
      <c r="L155" s="611"/>
      <c r="M155" s="611"/>
      <c r="N155" s="611"/>
      <c r="O155" s="611"/>
      <c r="P155" s="611"/>
      <c r="Q155" s="611"/>
      <c r="R155" s="611"/>
      <c r="S155" s="611"/>
      <c r="T155" s="611"/>
      <c r="U155" s="611"/>
      <c r="V155" s="611"/>
      <c r="W155" s="611"/>
      <c r="X155" s="611"/>
      <c r="Y155" s="611"/>
      <c r="Z155" s="611"/>
      <c r="AA155" s="611"/>
      <c r="AB155" s="611"/>
      <c r="AC155" s="611"/>
      <c r="AD155" s="611"/>
      <c r="AE155" s="611"/>
      <c r="AF155" s="611"/>
      <c r="AG155" s="611"/>
      <c r="AH155" s="611"/>
      <c r="AI155" s="611"/>
      <c r="AJ155" s="611"/>
      <c r="AK155" s="611"/>
    </row>
    <row r="156" spans="1:37">
      <c r="A156" s="611"/>
      <c r="B156" s="611"/>
      <c r="C156" s="611"/>
      <c r="D156" s="611"/>
      <c r="E156" s="611"/>
      <c r="F156" s="611"/>
      <c r="G156" s="611"/>
      <c r="H156" s="611"/>
      <c r="I156" s="611"/>
      <c r="J156" s="611"/>
      <c r="K156" s="611"/>
      <c r="L156" s="611"/>
      <c r="M156" s="611"/>
      <c r="N156" s="611"/>
      <c r="O156" s="611"/>
      <c r="P156" s="611"/>
      <c r="Q156" s="611"/>
      <c r="R156" s="611"/>
      <c r="S156" s="611"/>
      <c r="T156" s="611"/>
      <c r="U156" s="611"/>
      <c r="V156" s="611"/>
      <c r="W156" s="611"/>
      <c r="X156" s="611"/>
      <c r="Y156" s="611"/>
      <c r="Z156" s="611"/>
      <c r="AA156" s="611"/>
      <c r="AB156" s="611"/>
      <c r="AC156" s="611"/>
      <c r="AD156" s="611"/>
      <c r="AE156" s="611"/>
      <c r="AF156" s="611"/>
      <c r="AG156" s="611"/>
      <c r="AH156" s="611"/>
      <c r="AI156" s="611"/>
      <c r="AJ156" s="611"/>
      <c r="AK156" s="611"/>
    </row>
    <row r="157" spans="1:37">
      <c r="A157" s="611"/>
      <c r="B157" s="611"/>
      <c r="C157" s="611"/>
      <c r="D157" s="611"/>
      <c r="E157" s="611"/>
      <c r="F157" s="611"/>
      <c r="G157" s="611"/>
      <c r="H157" s="611"/>
      <c r="I157" s="611"/>
      <c r="J157" s="611"/>
      <c r="K157" s="611"/>
      <c r="L157" s="611"/>
      <c r="M157" s="611"/>
      <c r="N157" s="611"/>
      <c r="O157" s="611"/>
      <c r="P157" s="611"/>
      <c r="Q157" s="611"/>
      <c r="R157" s="611"/>
      <c r="S157" s="611"/>
      <c r="T157" s="611"/>
      <c r="U157" s="611"/>
      <c r="V157" s="611"/>
      <c r="W157" s="611"/>
      <c r="X157" s="611"/>
      <c r="Y157" s="611"/>
      <c r="Z157" s="611"/>
      <c r="AA157" s="611"/>
      <c r="AB157" s="611"/>
      <c r="AC157" s="611"/>
      <c r="AD157" s="611"/>
      <c r="AE157" s="611"/>
      <c r="AF157" s="611"/>
      <c r="AG157" s="611"/>
      <c r="AH157" s="611"/>
      <c r="AI157" s="611"/>
      <c r="AJ157" s="611"/>
      <c r="AK157" s="611"/>
    </row>
    <row r="158" spans="1:37">
      <c r="A158" s="611"/>
      <c r="B158" s="611"/>
      <c r="C158" s="611"/>
      <c r="D158" s="611"/>
      <c r="E158" s="611"/>
      <c r="F158" s="611"/>
      <c r="G158" s="611"/>
      <c r="H158" s="611"/>
      <c r="I158" s="611"/>
      <c r="J158" s="611"/>
      <c r="K158" s="611"/>
      <c r="L158" s="611"/>
      <c r="M158" s="611"/>
      <c r="N158" s="611"/>
      <c r="O158" s="611"/>
      <c r="P158" s="611"/>
      <c r="Q158" s="611"/>
      <c r="R158" s="611"/>
      <c r="S158" s="611"/>
      <c r="T158" s="611"/>
      <c r="U158" s="611"/>
      <c r="V158" s="611"/>
      <c r="W158" s="611"/>
      <c r="X158" s="611"/>
      <c r="Y158" s="611"/>
      <c r="Z158" s="611"/>
      <c r="AA158" s="611"/>
      <c r="AB158" s="611"/>
      <c r="AC158" s="611"/>
      <c r="AD158" s="611"/>
      <c r="AE158" s="611"/>
      <c r="AF158" s="611"/>
      <c r="AG158" s="611"/>
      <c r="AH158" s="611"/>
      <c r="AI158" s="611"/>
      <c r="AJ158" s="611"/>
      <c r="AK158" s="611"/>
    </row>
    <row r="159" spans="1:37">
      <c r="A159" s="611"/>
      <c r="B159" s="611"/>
      <c r="C159" s="611"/>
      <c r="D159" s="611"/>
      <c r="E159" s="611"/>
      <c r="F159" s="611"/>
      <c r="G159" s="611"/>
      <c r="H159" s="611"/>
      <c r="I159" s="611"/>
      <c r="J159" s="611"/>
      <c r="K159" s="611"/>
      <c r="L159" s="611"/>
      <c r="M159" s="611"/>
      <c r="N159" s="611"/>
      <c r="O159" s="611"/>
      <c r="P159" s="611"/>
      <c r="Q159" s="611"/>
      <c r="R159" s="611"/>
      <c r="S159" s="611"/>
      <c r="T159" s="611"/>
      <c r="U159" s="611"/>
      <c r="V159" s="611"/>
      <c r="W159" s="611"/>
      <c r="X159" s="611"/>
      <c r="Y159" s="611"/>
      <c r="Z159" s="611"/>
      <c r="AA159" s="611"/>
      <c r="AB159" s="611"/>
      <c r="AC159" s="611"/>
      <c r="AD159" s="611"/>
      <c r="AE159" s="611"/>
      <c r="AF159" s="611"/>
      <c r="AG159" s="611"/>
      <c r="AH159" s="611"/>
      <c r="AI159" s="611"/>
      <c r="AJ159" s="611"/>
      <c r="AK159" s="611"/>
    </row>
    <row r="160" spans="1:37">
      <c r="A160" s="611"/>
      <c r="B160" s="611"/>
      <c r="C160" s="611"/>
      <c r="D160" s="611"/>
      <c r="E160" s="611"/>
      <c r="F160" s="611"/>
      <c r="G160" s="611"/>
      <c r="H160" s="611"/>
      <c r="I160" s="611"/>
      <c r="J160" s="611"/>
      <c r="K160" s="611"/>
      <c r="L160" s="611"/>
      <c r="M160" s="611"/>
      <c r="N160" s="611"/>
      <c r="O160" s="611"/>
      <c r="P160" s="611"/>
      <c r="Q160" s="611"/>
      <c r="R160" s="611"/>
      <c r="S160" s="611"/>
      <c r="T160" s="611"/>
      <c r="U160" s="611"/>
      <c r="V160" s="611"/>
      <c r="W160" s="611"/>
      <c r="X160" s="611"/>
      <c r="Y160" s="611"/>
      <c r="Z160" s="611"/>
      <c r="AA160" s="611"/>
      <c r="AB160" s="611"/>
      <c r="AC160" s="611"/>
      <c r="AD160" s="611"/>
      <c r="AE160" s="611"/>
      <c r="AF160" s="611"/>
      <c r="AG160" s="611"/>
      <c r="AH160" s="611"/>
      <c r="AI160" s="611"/>
      <c r="AJ160" s="611"/>
      <c r="AK160" s="611"/>
    </row>
    <row r="161" spans="1:37">
      <c r="A161" s="611"/>
      <c r="B161" s="611"/>
      <c r="C161" s="611"/>
      <c r="D161" s="611"/>
      <c r="E161" s="611"/>
      <c r="F161" s="611"/>
      <c r="G161" s="611"/>
      <c r="H161" s="611"/>
      <c r="I161" s="611"/>
      <c r="J161" s="611"/>
      <c r="K161" s="611"/>
      <c r="L161" s="611"/>
      <c r="M161" s="611"/>
      <c r="N161" s="611"/>
      <c r="O161" s="611"/>
      <c r="P161" s="611"/>
      <c r="Q161" s="611"/>
      <c r="R161" s="611"/>
      <c r="S161" s="611"/>
      <c r="T161" s="611"/>
      <c r="U161" s="611"/>
      <c r="V161" s="611"/>
      <c r="W161" s="611"/>
      <c r="X161" s="611"/>
      <c r="Y161" s="611"/>
      <c r="Z161" s="611"/>
      <c r="AA161" s="611"/>
      <c r="AB161" s="611"/>
      <c r="AC161" s="611"/>
      <c r="AD161" s="611"/>
      <c r="AE161" s="611"/>
      <c r="AF161" s="611"/>
      <c r="AG161" s="611"/>
      <c r="AH161" s="611"/>
      <c r="AI161" s="611"/>
      <c r="AJ161" s="611"/>
      <c r="AK161" s="611"/>
    </row>
    <row r="162" spans="1:37">
      <c r="A162" s="611"/>
      <c r="B162" s="611"/>
      <c r="C162" s="611"/>
      <c r="D162" s="611"/>
      <c r="E162" s="611"/>
      <c r="F162" s="611"/>
      <c r="G162" s="611"/>
      <c r="H162" s="611"/>
      <c r="I162" s="611"/>
      <c r="J162" s="611"/>
      <c r="K162" s="611"/>
      <c r="L162" s="611"/>
      <c r="M162" s="611"/>
      <c r="N162" s="611"/>
      <c r="O162" s="611"/>
      <c r="P162" s="611"/>
      <c r="Q162" s="611"/>
      <c r="R162" s="611"/>
      <c r="S162" s="611"/>
      <c r="T162" s="611"/>
      <c r="U162" s="611"/>
      <c r="V162" s="611"/>
      <c r="W162" s="611"/>
      <c r="X162" s="611"/>
      <c r="Y162" s="611"/>
      <c r="Z162" s="611"/>
      <c r="AA162" s="611"/>
      <c r="AB162" s="611"/>
      <c r="AC162" s="611"/>
      <c r="AD162" s="611"/>
      <c r="AE162" s="611"/>
      <c r="AF162" s="611"/>
      <c r="AG162" s="611"/>
      <c r="AH162" s="611"/>
      <c r="AI162" s="611"/>
      <c r="AJ162" s="611"/>
      <c r="AK162" s="611"/>
    </row>
    <row r="163" spans="1:37">
      <c r="A163" s="611"/>
      <c r="B163" s="611"/>
      <c r="C163" s="611"/>
      <c r="D163" s="611"/>
      <c r="E163" s="611"/>
      <c r="F163" s="611"/>
      <c r="G163" s="611"/>
      <c r="H163" s="611"/>
      <c r="I163" s="611"/>
      <c r="J163" s="611"/>
      <c r="K163" s="611"/>
      <c r="L163" s="611"/>
      <c r="M163" s="611"/>
      <c r="N163" s="611"/>
      <c r="O163" s="611"/>
      <c r="P163" s="611"/>
      <c r="Q163" s="611"/>
      <c r="R163" s="611"/>
      <c r="S163" s="611"/>
      <c r="T163" s="611"/>
      <c r="U163" s="611"/>
      <c r="V163" s="611"/>
      <c r="W163" s="611"/>
      <c r="X163" s="611"/>
      <c r="Y163" s="611"/>
      <c r="Z163" s="611"/>
      <c r="AA163" s="611"/>
      <c r="AB163" s="611"/>
      <c r="AC163" s="611"/>
      <c r="AD163" s="611"/>
      <c r="AE163" s="611"/>
      <c r="AF163" s="611"/>
      <c r="AG163" s="611"/>
      <c r="AH163" s="611"/>
      <c r="AI163" s="611"/>
      <c r="AJ163" s="611"/>
      <c r="AK163" s="611"/>
    </row>
    <row r="164" spans="1:37">
      <c r="A164" s="611"/>
      <c r="B164" s="611"/>
      <c r="C164" s="611"/>
      <c r="D164" s="611"/>
      <c r="E164" s="611"/>
      <c r="F164" s="611"/>
      <c r="G164" s="611"/>
      <c r="H164" s="611"/>
      <c r="I164" s="611"/>
      <c r="J164" s="611"/>
      <c r="K164" s="611"/>
      <c r="L164" s="611"/>
      <c r="M164" s="611"/>
      <c r="N164" s="611"/>
      <c r="O164" s="611"/>
      <c r="P164" s="611"/>
      <c r="Q164" s="611"/>
      <c r="R164" s="611"/>
      <c r="S164" s="611"/>
      <c r="T164" s="611"/>
      <c r="U164" s="611"/>
      <c r="V164" s="611"/>
      <c r="W164" s="611"/>
      <c r="X164" s="611"/>
      <c r="Y164" s="611"/>
      <c r="Z164" s="611"/>
      <c r="AA164" s="611"/>
      <c r="AB164" s="611"/>
      <c r="AC164" s="611"/>
      <c r="AD164" s="611"/>
      <c r="AE164" s="611"/>
      <c r="AF164" s="611"/>
      <c r="AG164" s="611"/>
      <c r="AH164" s="611"/>
      <c r="AI164" s="611"/>
      <c r="AJ164" s="611"/>
      <c r="AK164" s="611"/>
    </row>
    <row r="165" spans="1:37">
      <c r="A165" s="611"/>
      <c r="B165" s="611"/>
      <c r="C165" s="611"/>
      <c r="D165" s="611"/>
      <c r="E165" s="611"/>
      <c r="F165" s="611"/>
      <c r="G165" s="611"/>
      <c r="H165" s="611"/>
      <c r="I165" s="611"/>
      <c r="J165" s="611"/>
      <c r="K165" s="611"/>
      <c r="L165" s="611"/>
      <c r="M165" s="611"/>
      <c r="N165" s="611"/>
      <c r="O165" s="611"/>
      <c r="P165" s="611"/>
      <c r="Q165" s="611"/>
      <c r="R165" s="611"/>
      <c r="S165" s="611"/>
      <c r="T165" s="611"/>
      <c r="U165" s="611"/>
      <c r="V165" s="611"/>
      <c r="W165" s="611"/>
      <c r="X165" s="611"/>
      <c r="Y165" s="611"/>
      <c r="Z165" s="611"/>
      <c r="AA165" s="611"/>
      <c r="AB165" s="611"/>
      <c r="AC165" s="611"/>
      <c r="AD165" s="611"/>
      <c r="AE165" s="611"/>
      <c r="AF165" s="611"/>
      <c r="AG165" s="611"/>
      <c r="AH165" s="611"/>
      <c r="AI165" s="611"/>
      <c r="AJ165" s="611"/>
      <c r="AK165" s="611"/>
    </row>
    <row r="166" spans="1:37">
      <c r="A166" s="611"/>
      <c r="B166" s="611"/>
      <c r="C166" s="611"/>
      <c r="D166" s="611"/>
      <c r="E166" s="611"/>
      <c r="F166" s="611"/>
      <c r="G166" s="611"/>
      <c r="H166" s="611"/>
      <c r="I166" s="611"/>
      <c r="J166" s="611"/>
      <c r="K166" s="611"/>
      <c r="L166" s="611"/>
      <c r="M166" s="611"/>
      <c r="N166" s="611"/>
      <c r="O166" s="611"/>
      <c r="P166" s="611"/>
      <c r="Q166" s="611"/>
      <c r="R166" s="611"/>
      <c r="S166" s="611"/>
      <c r="T166" s="611"/>
      <c r="U166" s="611"/>
      <c r="V166" s="611"/>
      <c r="W166" s="611"/>
      <c r="X166" s="611"/>
      <c r="Y166" s="611"/>
      <c r="Z166" s="611"/>
      <c r="AA166" s="611"/>
      <c r="AB166" s="611"/>
      <c r="AC166" s="611"/>
      <c r="AD166" s="611"/>
      <c r="AE166" s="611"/>
      <c r="AF166" s="611"/>
      <c r="AG166" s="611"/>
      <c r="AH166" s="611"/>
      <c r="AI166" s="611"/>
      <c r="AJ166" s="611"/>
      <c r="AK166" s="611"/>
    </row>
    <row r="167" spans="1:37">
      <c r="A167" s="611"/>
      <c r="B167" s="611"/>
      <c r="C167" s="611"/>
      <c r="D167" s="611"/>
      <c r="E167" s="611"/>
      <c r="F167" s="611"/>
      <c r="G167" s="611"/>
      <c r="H167" s="611"/>
      <c r="I167" s="611"/>
      <c r="J167" s="611"/>
      <c r="K167" s="611"/>
      <c r="L167" s="611"/>
      <c r="M167" s="611"/>
      <c r="N167" s="611"/>
      <c r="O167" s="611"/>
      <c r="P167" s="611"/>
      <c r="Q167" s="611"/>
      <c r="R167" s="611"/>
      <c r="S167" s="611"/>
      <c r="T167" s="611"/>
      <c r="U167" s="611"/>
      <c r="V167" s="611"/>
      <c r="W167" s="611"/>
      <c r="X167" s="611"/>
      <c r="Y167" s="611"/>
      <c r="Z167" s="611"/>
      <c r="AA167" s="611"/>
      <c r="AB167" s="611"/>
      <c r="AC167" s="611"/>
      <c r="AD167" s="611"/>
      <c r="AE167" s="611"/>
      <c r="AF167" s="611"/>
      <c r="AG167" s="611"/>
      <c r="AH167" s="611"/>
      <c r="AI167" s="611"/>
      <c r="AJ167" s="611"/>
      <c r="AK167" s="611"/>
    </row>
    <row r="168" spans="1:37">
      <c r="A168" s="611"/>
      <c r="B168" s="611"/>
      <c r="C168" s="611"/>
      <c r="D168" s="611"/>
      <c r="E168" s="611"/>
      <c r="F168" s="611"/>
      <c r="G168" s="611"/>
      <c r="H168" s="611"/>
      <c r="I168" s="611"/>
      <c r="J168" s="611"/>
      <c r="K168" s="611"/>
      <c r="L168" s="611"/>
      <c r="M168" s="611"/>
      <c r="N168" s="611"/>
      <c r="O168" s="611"/>
      <c r="P168" s="611"/>
      <c r="Q168" s="611"/>
      <c r="R168" s="611"/>
      <c r="S168" s="611"/>
      <c r="T168" s="611"/>
      <c r="U168" s="611"/>
      <c r="V168" s="611"/>
      <c r="W168" s="611"/>
      <c r="X168" s="611"/>
      <c r="Y168" s="611"/>
      <c r="Z168" s="611"/>
      <c r="AA168" s="611"/>
      <c r="AB168" s="611"/>
      <c r="AC168" s="611"/>
      <c r="AD168" s="611"/>
      <c r="AE168" s="611"/>
      <c r="AF168" s="611"/>
      <c r="AG168" s="611"/>
      <c r="AH168" s="611"/>
      <c r="AI168" s="611"/>
      <c r="AJ168" s="611"/>
      <c r="AK168" s="611"/>
    </row>
    <row r="169" spans="1:37">
      <c r="A169" s="611"/>
      <c r="B169" s="611"/>
      <c r="C169" s="611"/>
      <c r="D169" s="611"/>
      <c r="E169" s="611"/>
      <c r="F169" s="611"/>
      <c r="G169" s="611"/>
      <c r="H169" s="611"/>
      <c r="I169" s="611"/>
      <c r="J169" s="611"/>
      <c r="K169" s="611"/>
      <c r="L169" s="611"/>
      <c r="M169" s="611"/>
      <c r="N169" s="611"/>
      <c r="O169" s="611"/>
      <c r="P169" s="611"/>
      <c r="Q169" s="611"/>
      <c r="R169" s="611"/>
      <c r="S169" s="611"/>
      <c r="T169" s="611"/>
      <c r="U169" s="611"/>
      <c r="V169" s="611"/>
      <c r="W169" s="611"/>
      <c r="X169" s="611"/>
      <c r="Y169" s="611"/>
      <c r="Z169" s="611"/>
      <c r="AA169" s="611"/>
      <c r="AB169" s="611"/>
      <c r="AC169" s="611"/>
      <c r="AD169" s="611"/>
      <c r="AE169" s="611"/>
      <c r="AF169" s="611"/>
      <c r="AG169" s="611"/>
      <c r="AH169" s="611"/>
      <c r="AI169" s="611"/>
      <c r="AJ169" s="611"/>
      <c r="AK169" s="611"/>
    </row>
    <row r="170" spans="1:37">
      <c r="A170" s="611"/>
      <c r="B170" s="611"/>
      <c r="C170" s="611"/>
      <c r="D170" s="611"/>
      <c r="E170" s="611"/>
      <c r="F170" s="611"/>
      <c r="G170" s="611"/>
      <c r="H170" s="611"/>
      <c r="I170" s="611"/>
      <c r="J170" s="611"/>
      <c r="K170" s="611"/>
      <c r="L170" s="611"/>
      <c r="M170" s="611"/>
      <c r="N170" s="611"/>
      <c r="O170" s="611"/>
      <c r="P170" s="611"/>
      <c r="Q170" s="611"/>
      <c r="R170" s="611"/>
      <c r="S170" s="611"/>
      <c r="T170" s="611"/>
      <c r="U170" s="611"/>
      <c r="V170" s="611"/>
      <c r="W170" s="611"/>
      <c r="X170" s="611"/>
      <c r="Y170" s="611"/>
      <c r="Z170" s="611"/>
      <c r="AA170" s="611"/>
      <c r="AB170" s="611"/>
      <c r="AC170" s="611"/>
      <c r="AD170" s="611"/>
      <c r="AE170" s="611"/>
      <c r="AF170" s="611"/>
      <c r="AG170" s="611"/>
      <c r="AH170" s="611"/>
      <c r="AI170" s="611"/>
      <c r="AJ170" s="611"/>
      <c r="AK170" s="611"/>
    </row>
    <row r="171" spans="1:37">
      <c r="A171" s="611"/>
      <c r="B171" s="611"/>
      <c r="C171" s="611"/>
      <c r="D171" s="611"/>
      <c r="E171" s="611"/>
      <c r="F171" s="611"/>
      <c r="G171" s="611"/>
      <c r="H171" s="611"/>
      <c r="I171" s="611"/>
      <c r="J171" s="611"/>
      <c r="K171" s="611"/>
      <c r="L171" s="611"/>
      <c r="M171" s="611"/>
      <c r="N171" s="611"/>
      <c r="O171" s="611"/>
      <c r="P171" s="611"/>
      <c r="Q171" s="611"/>
      <c r="R171" s="611"/>
      <c r="S171" s="611"/>
      <c r="T171" s="611"/>
      <c r="U171" s="611"/>
      <c r="V171" s="611"/>
      <c r="W171" s="611"/>
      <c r="X171" s="611"/>
      <c r="Y171" s="611"/>
      <c r="Z171" s="611"/>
      <c r="AA171" s="611"/>
      <c r="AB171" s="611"/>
      <c r="AC171" s="611"/>
      <c r="AD171" s="611"/>
      <c r="AE171" s="611"/>
      <c r="AF171" s="611"/>
      <c r="AG171" s="611"/>
      <c r="AH171" s="611"/>
      <c r="AI171" s="611"/>
      <c r="AJ171" s="611"/>
      <c r="AK171" s="611"/>
    </row>
    <row r="172" spans="1:37">
      <c r="A172" s="611"/>
      <c r="B172" s="611"/>
      <c r="C172" s="611"/>
      <c r="D172" s="611"/>
      <c r="E172" s="611"/>
      <c r="F172" s="611"/>
      <c r="G172" s="611"/>
      <c r="H172" s="611"/>
      <c r="I172" s="611"/>
      <c r="J172" s="611"/>
      <c r="K172" s="611"/>
      <c r="L172" s="611"/>
      <c r="M172" s="611"/>
      <c r="N172" s="611"/>
      <c r="O172" s="611"/>
      <c r="P172" s="611"/>
      <c r="Q172" s="611"/>
      <c r="R172" s="611"/>
      <c r="S172" s="611"/>
      <c r="T172" s="611"/>
      <c r="U172" s="611"/>
      <c r="V172" s="611"/>
      <c r="W172" s="611"/>
      <c r="X172" s="611"/>
      <c r="Y172" s="611"/>
      <c r="Z172" s="611"/>
      <c r="AA172" s="611"/>
      <c r="AB172" s="611"/>
      <c r="AC172" s="611"/>
      <c r="AD172" s="611"/>
      <c r="AE172" s="611"/>
      <c r="AF172" s="611"/>
      <c r="AG172" s="611"/>
      <c r="AH172" s="611"/>
      <c r="AI172" s="611"/>
      <c r="AJ172" s="611"/>
      <c r="AK172" s="611"/>
    </row>
    <row r="173" spans="1:37">
      <c r="A173" s="611"/>
      <c r="B173" s="611"/>
      <c r="C173" s="611"/>
      <c r="D173" s="611"/>
      <c r="E173" s="611"/>
      <c r="F173" s="611"/>
      <c r="G173" s="611"/>
      <c r="H173" s="611"/>
      <c r="I173" s="611"/>
      <c r="J173" s="611"/>
      <c r="K173" s="611"/>
      <c r="L173" s="611"/>
      <c r="M173" s="611"/>
      <c r="N173" s="611"/>
      <c r="O173" s="611"/>
      <c r="P173" s="611"/>
      <c r="Q173" s="611"/>
      <c r="R173" s="611"/>
      <c r="S173" s="611"/>
      <c r="T173" s="611"/>
      <c r="U173" s="611"/>
      <c r="V173" s="611"/>
      <c r="W173" s="611"/>
      <c r="X173" s="611"/>
      <c r="Y173" s="611"/>
      <c r="Z173" s="611"/>
      <c r="AA173" s="611"/>
      <c r="AB173" s="611"/>
      <c r="AC173" s="611"/>
      <c r="AD173" s="611"/>
      <c r="AE173" s="611"/>
      <c r="AF173" s="611"/>
      <c r="AG173" s="611"/>
      <c r="AH173" s="611"/>
      <c r="AI173" s="611"/>
      <c r="AJ173" s="611"/>
      <c r="AK173" s="611"/>
    </row>
    <row r="174" spans="1:37">
      <c r="A174" s="611"/>
      <c r="B174" s="611"/>
      <c r="C174" s="611"/>
      <c r="D174" s="611"/>
      <c r="E174" s="611"/>
      <c r="F174" s="611"/>
      <c r="G174" s="611"/>
      <c r="H174" s="611"/>
      <c r="I174" s="611"/>
      <c r="J174" s="611"/>
      <c r="K174" s="611"/>
      <c r="L174" s="611"/>
      <c r="M174" s="611"/>
      <c r="N174" s="611"/>
      <c r="O174" s="611"/>
      <c r="P174" s="611"/>
      <c r="Q174" s="611"/>
      <c r="R174" s="611"/>
      <c r="S174" s="611"/>
      <c r="T174" s="611"/>
      <c r="U174" s="611"/>
      <c r="V174" s="611"/>
      <c r="W174" s="611"/>
      <c r="X174" s="611"/>
      <c r="Y174" s="611"/>
      <c r="Z174" s="611"/>
      <c r="AA174" s="611"/>
      <c r="AB174" s="611"/>
      <c r="AC174" s="611"/>
      <c r="AD174" s="611"/>
      <c r="AE174" s="611"/>
      <c r="AF174" s="611"/>
      <c r="AG174" s="611"/>
      <c r="AH174" s="611"/>
      <c r="AI174" s="611"/>
      <c r="AJ174" s="611"/>
      <c r="AK174" s="611"/>
    </row>
    <row r="175" spans="1:37">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1"/>
      <c r="AK175" s="611"/>
    </row>
    <row r="176" spans="1:37">
      <c r="A176" s="611"/>
      <c r="B176" s="611"/>
      <c r="C176" s="611"/>
      <c r="D176" s="611"/>
      <c r="E176" s="611"/>
      <c r="F176" s="611"/>
      <c r="G176" s="611"/>
      <c r="H176" s="611"/>
      <c r="I176" s="611"/>
      <c r="J176" s="611"/>
      <c r="K176" s="611"/>
      <c r="L176" s="611"/>
      <c r="M176" s="611"/>
      <c r="N176" s="611"/>
      <c r="O176" s="611"/>
      <c r="P176" s="611"/>
      <c r="Q176" s="611"/>
      <c r="R176" s="611"/>
      <c r="S176" s="611"/>
      <c r="T176" s="611"/>
      <c r="U176" s="611"/>
      <c r="V176" s="611"/>
      <c r="W176" s="611"/>
      <c r="X176" s="611"/>
      <c r="Y176" s="611"/>
      <c r="Z176" s="611"/>
      <c r="AA176" s="611"/>
      <c r="AB176" s="611"/>
      <c r="AC176" s="611"/>
      <c r="AD176" s="611"/>
      <c r="AE176" s="611"/>
      <c r="AF176" s="611"/>
      <c r="AG176" s="611"/>
      <c r="AH176" s="611"/>
      <c r="AI176" s="611"/>
      <c r="AJ176" s="611"/>
      <c r="AK176" s="611"/>
    </row>
    <row r="177" spans="1:37">
      <c r="A177" s="611"/>
      <c r="B177" s="611"/>
      <c r="C177" s="611"/>
      <c r="D177" s="611"/>
      <c r="E177" s="611"/>
      <c r="F177" s="611"/>
      <c r="G177" s="611"/>
      <c r="H177" s="611"/>
      <c r="I177" s="611"/>
      <c r="J177" s="611"/>
      <c r="K177" s="611"/>
      <c r="L177" s="611"/>
      <c r="M177" s="611"/>
      <c r="N177" s="611"/>
      <c r="O177" s="611"/>
      <c r="P177" s="611"/>
      <c r="Q177" s="611"/>
      <c r="R177" s="611"/>
      <c r="S177" s="611"/>
      <c r="T177" s="611"/>
      <c r="U177" s="611"/>
      <c r="V177" s="611"/>
      <c r="W177" s="611"/>
      <c r="X177" s="611"/>
      <c r="Y177" s="611"/>
      <c r="Z177" s="611"/>
      <c r="AA177" s="611"/>
      <c r="AB177" s="611"/>
      <c r="AC177" s="611"/>
      <c r="AD177" s="611"/>
      <c r="AE177" s="611"/>
      <c r="AF177" s="611"/>
      <c r="AG177" s="611"/>
      <c r="AH177" s="611"/>
      <c r="AI177" s="611"/>
      <c r="AJ177" s="611"/>
      <c r="AK177" s="611"/>
    </row>
    <row r="178" spans="1:37">
      <c r="A178" s="611"/>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1"/>
      <c r="AK178" s="611"/>
    </row>
    <row r="179" spans="1:37">
      <c r="A179" s="611"/>
      <c r="B179" s="611"/>
      <c r="C179" s="611"/>
      <c r="D179" s="611"/>
      <c r="E179" s="611"/>
      <c r="F179" s="611"/>
      <c r="G179" s="611"/>
      <c r="H179" s="611"/>
      <c r="I179" s="611"/>
      <c r="J179" s="611"/>
      <c r="K179" s="611"/>
      <c r="L179" s="611"/>
      <c r="M179" s="611"/>
      <c r="N179" s="611"/>
      <c r="O179" s="611"/>
      <c r="P179" s="611"/>
      <c r="Q179" s="611"/>
      <c r="R179" s="611"/>
      <c r="S179" s="611"/>
      <c r="T179" s="611"/>
      <c r="U179" s="611"/>
      <c r="V179" s="611"/>
      <c r="W179" s="611"/>
      <c r="X179" s="611"/>
      <c r="Y179" s="611"/>
      <c r="Z179" s="611"/>
      <c r="AA179" s="611"/>
      <c r="AB179" s="611"/>
      <c r="AC179" s="611"/>
      <c r="AD179" s="611"/>
      <c r="AE179" s="611"/>
      <c r="AF179" s="611"/>
      <c r="AG179" s="611"/>
      <c r="AH179" s="611"/>
      <c r="AI179" s="611"/>
      <c r="AJ179" s="611"/>
      <c r="AK179" s="611"/>
    </row>
    <row r="180" spans="1:37">
      <c r="A180" s="611"/>
      <c r="B180" s="611"/>
      <c r="C180" s="611"/>
      <c r="D180" s="611"/>
      <c r="E180" s="611"/>
      <c r="F180" s="611"/>
      <c r="G180" s="611"/>
      <c r="H180" s="611"/>
      <c r="I180" s="611"/>
      <c r="J180" s="611"/>
      <c r="K180" s="611"/>
      <c r="L180" s="611"/>
      <c r="M180" s="611"/>
      <c r="N180" s="611"/>
      <c r="O180" s="611"/>
      <c r="P180" s="611"/>
      <c r="Q180" s="611"/>
      <c r="R180" s="611"/>
      <c r="S180" s="611"/>
      <c r="T180" s="611"/>
      <c r="U180" s="611"/>
      <c r="V180" s="611"/>
      <c r="W180" s="611"/>
      <c r="X180" s="611"/>
      <c r="Y180" s="611"/>
      <c r="Z180" s="611"/>
      <c r="AA180" s="611"/>
      <c r="AB180" s="611"/>
      <c r="AC180" s="611"/>
      <c r="AD180" s="611"/>
      <c r="AE180" s="611"/>
      <c r="AF180" s="611"/>
      <c r="AG180" s="611"/>
      <c r="AH180" s="611"/>
      <c r="AI180" s="611"/>
      <c r="AJ180" s="611"/>
      <c r="AK180" s="611"/>
    </row>
    <row r="181" spans="1:37">
      <c r="A181" s="611"/>
      <c r="B181" s="611"/>
      <c r="C181" s="611"/>
      <c r="D181" s="611"/>
      <c r="E181" s="611"/>
      <c r="F181" s="611"/>
      <c r="G181" s="611"/>
      <c r="H181" s="611"/>
      <c r="I181" s="611"/>
      <c r="J181" s="611"/>
      <c r="K181" s="611"/>
      <c r="L181" s="611"/>
      <c r="M181" s="611"/>
      <c r="N181" s="611"/>
      <c r="O181" s="611"/>
      <c r="P181" s="611"/>
      <c r="Q181" s="611"/>
      <c r="R181" s="611"/>
      <c r="S181" s="611"/>
      <c r="T181" s="611"/>
      <c r="U181" s="611"/>
      <c r="V181" s="611"/>
      <c r="W181" s="611"/>
      <c r="X181" s="611"/>
      <c r="Y181" s="611"/>
      <c r="Z181" s="611"/>
      <c r="AA181" s="611"/>
      <c r="AB181" s="611"/>
      <c r="AC181" s="611"/>
      <c r="AD181" s="611"/>
      <c r="AE181" s="611"/>
      <c r="AF181" s="611"/>
      <c r="AG181" s="611"/>
      <c r="AH181" s="611"/>
      <c r="AI181" s="611"/>
      <c r="AJ181" s="611"/>
      <c r="AK181" s="611"/>
    </row>
    <row r="182" spans="1:37">
      <c r="A182" s="611"/>
      <c r="B182" s="611"/>
      <c r="C182" s="611"/>
      <c r="D182" s="611"/>
      <c r="E182" s="611"/>
      <c r="F182" s="611"/>
      <c r="G182" s="611"/>
      <c r="H182" s="611"/>
      <c r="I182" s="611"/>
      <c r="J182" s="611"/>
      <c r="K182" s="611"/>
      <c r="L182" s="611"/>
      <c r="M182" s="611"/>
      <c r="N182" s="611"/>
      <c r="O182" s="611"/>
      <c r="P182" s="611"/>
      <c r="Q182" s="611"/>
      <c r="R182" s="611"/>
      <c r="S182" s="611"/>
      <c r="T182" s="611"/>
      <c r="U182" s="611"/>
      <c r="V182" s="611"/>
      <c r="W182" s="611"/>
      <c r="X182" s="611"/>
      <c r="Y182" s="611"/>
      <c r="Z182" s="611"/>
      <c r="AA182" s="611"/>
      <c r="AB182" s="611"/>
      <c r="AC182" s="611"/>
      <c r="AD182" s="611"/>
      <c r="AE182" s="611"/>
      <c r="AF182" s="611"/>
      <c r="AG182" s="611"/>
      <c r="AH182" s="611"/>
      <c r="AI182" s="611"/>
      <c r="AJ182" s="611"/>
      <c r="AK182" s="611"/>
    </row>
    <row r="183" spans="1:37">
      <c r="A183" s="611"/>
      <c r="B183" s="611"/>
      <c r="C183" s="611"/>
      <c r="D183" s="611"/>
      <c r="E183" s="611"/>
      <c r="F183" s="611"/>
      <c r="G183" s="611"/>
      <c r="H183" s="611"/>
      <c r="I183" s="611"/>
      <c r="J183" s="611"/>
      <c r="K183" s="611"/>
      <c r="L183" s="611"/>
      <c r="M183" s="611"/>
      <c r="N183" s="611"/>
      <c r="O183" s="611"/>
      <c r="P183" s="611"/>
      <c r="Q183" s="611"/>
      <c r="R183" s="611"/>
      <c r="S183" s="611"/>
      <c r="T183" s="611"/>
      <c r="U183" s="611"/>
      <c r="V183" s="611"/>
      <c r="W183" s="611"/>
      <c r="X183" s="611"/>
      <c r="Y183" s="611"/>
      <c r="Z183" s="611"/>
      <c r="AA183" s="611"/>
      <c r="AB183" s="611"/>
      <c r="AC183" s="611"/>
      <c r="AD183" s="611"/>
      <c r="AE183" s="611"/>
      <c r="AF183" s="611"/>
      <c r="AG183" s="611"/>
      <c r="AH183" s="611"/>
      <c r="AI183" s="611"/>
      <c r="AJ183" s="611"/>
      <c r="AK183" s="611"/>
    </row>
    <row r="184" spans="1:37">
      <c r="A184" s="611"/>
      <c r="B184" s="611"/>
      <c r="C184" s="611"/>
      <c r="D184" s="611"/>
      <c r="E184" s="611"/>
      <c r="F184" s="611"/>
      <c r="G184" s="611"/>
      <c r="H184" s="611"/>
      <c r="I184" s="611"/>
      <c r="J184" s="611"/>
      <c r="K184" s="611"/>
      <c r="L184" s="611"/>
      <c r="M184" s="611"/>
      <c r="N184" s="611"/>
      <c r="O184" s="611"/>
      <c r="P184" s="611"/>
      <c r="Q184" s="611"/>
      <c r="R184" s="611"/>
      <c r="S184" s="611"/>
      <c r="T184" s="611"/>
      <c r="U184" s="611"/>
      <c r="V184" s="611"/>
      <c r="W184" s="611"/>
      <c r="X184" s="611"/>
      <c r="Y184" s="611"/>
      <c r="Z184" s="611"/>
      <c r="AA184" s="611"/>
      <c r="AB184" s="611"/>
      <c r="AC184" s="611"/>
      <c r="AD184" s="611"/>
      <c r="AE184" s="611"/>
      <c r="AF184" s="611"/>
      <c r="AG184" s="611"/>
      <c r="AH184" s="611"/>
      <c r="AI184" s="611"/>
      <c r="AJ184" s="611"/>
      <c r="AK184" s="611"/>
    </row>
    <row r="185" spans="1:37">
      <c r="A185" s="611"/>
      <c r="B185" s="611"/>
      <c r="C185" s="611"/>
      <c r="D185" s="611"/>
      <c r="E185" s="611"/>
      <c r="F185" s="611"/>
      <c r="G185" s="611"/>
      <c r="H185" s="611"/>
      <c r="I185" s="611"/>
      <c r="J185" s="611"/>
      <c r="K185" s="611"/>
      <c r="L185" s="611"/>
      <c r="M185" s="611"/>
      <c r="N185" s="611"/>
      <c r="O185" s="611"/>
      <c r="P185" s="611"/>
      <c r="Q185" s="611"/>
      <c r="R185" s="611"/>
      <c r="S185" s="611"/>
      <c r="T185" s="611"/>
      <c r="U185" s="611"/>
      <c r="V185" s="611"/>
      <c r="W185" s="611"/>
      <c r="X185" s="611"/>
      <c r="Y185" s="611"/>
      <c r="Z185" s="611"/>
      <c r="AA185" s="611"/>
      <c r="AB185" s="611"/>
      <c r="AC185" s="611"/>
      <c r="AD185" s="611"/>
      <c r="AE185" s="611"/>
      <c r="AF185" s="611"/>
      <c r="AG185" s="611"/>
      <c r="AH185" s="611"/>
      <c r="AI185" s="611"/>
      <c r="AJ185" s="611"/>
      <c r="AK185" s="611"/>
    </row>
    <row r="186" spans="1:37">
      <c r="A186" s="611"/>
      <c r="B186" s="611"/>
      <c r="C186" s="611"/>
      <c r="D186" s="611"/>
      <c r="E186" s="611"/>
      <c r="F186" s="611"/>
      <c r="G186" s="611"/>
      <c r="H186" s="611"/>
      <c r="I186" s="611"/>
      <c r="J186" s="611"/>
      <c r="K186" s="611"/>
      <c r="L186" s="611"/>
      <c r="M186" s="611"/>
      <c r="N186" s="611"/>
      <c r="O186" s="611"/>
      <c r="P186" s="611"/>
      <c r="Q186" s="611"/>
      <c r="R186" s="611"/>
      <c r="S186" s="611"/>
      <c r="T186" s="611"/>
      <c r="U186" s="611"/>
      <c r="V186" s="611"/>
      <c r="W186" s="611"/>
      <c r="X186" s="611"/>
      <c r="Y186" s="611"/>
      <c r="Z186" s="611"/>
      <c r="AA186" s="611"/>
      <c r="AB186" s="611"/>
      <c r="AC186" s="611"/>
      <c r="AD186" s="611"/>
      <c r="AE186" s="611"/>
      <c r="AF186" s="611"/>
      <c r="AG186" s="611"/>
      <c r="AH186" s="611"/>
      <c r="AI186" s="611"/>
      <c r="AJ186" s="611"/>
      <c r="AK186" s="611"/>
    </row>
    <row r="187" spans="1:37">
      <c r="A187" s="611"/>
      <c r="B187" s="611"/>
      <c r="C187" s="611"/>
      <c r="D187" s="611"/>
      <c r="E187" s="611"/>
      <c r="F187" s="611"/>
      <c r="G187" s="611"/>
      <c r="H187" s="611"/>
      <c r="I187" s="611"/>
      <c r="J187" s="611"/>
      <c r="K187" s="611"/>
      <c r="L187" s="611"/>
      <c r="M187" s="611"/>
      <c r="N187" s="611"/>
      <c r="O187" s="611"/>
      <c r="P187" s="611"/>
      <c r="Q187" s="611"/>
      <c r="R187" s="611"/>
      <c r="S187" s="611"/>
      <c r="T187" s="611"/>
      <c r="U187" s="611"/>
      <c r="V187" s="611"/>
      <c r="W187" s="611"/>
      <c r="X187" s="611"/>
      <c r="Y187" s="611"/>
      <c r="Z187" s="611"/>
      <c r="AA187" s="611"/>
      <c r="AB187" s="611"/>
      <c r="AC187" s="611"/>
      <c r="AD187" s="611"/>
      <c r="AE187" s="611"/>
      <c r="AF187" s="611"/>
      <c r="AG187" s="611"/>
      <c r="AH187" s="611"/>
      <c r="AI187" s="611"/>
      <c r="AJ187" s="611"/>
      <c r="AK187" s="611"/>
    </row>
    <row r="188" spans="1:37">
      <c r="A188" s="611"/>
      <c r="B188" s="611"/>
      <c r="C188" s="611"/>
      <c r="D188" s="611"/>
      <c r="E188" s="611"/>
      <c r="F188" s="611"/>
      <c r="G188" s="611"/>
      <c r="H188" s="611"/>
      <c r="I188" s="611"/>
      <c r="J188" s="611"/>
      <c r="K188" s="611"/>
      <c r="L188" s="611"/>
      <c r="M188" s="611"/>
      <c r="N188" s="611"/>
      <c r="O188" s="611"/>
      <c r="P188" s="611"/>
      <c r="Q188" s="611"/>
      <c r="R188" s="611"/>
      <c r="S188" s="611"/>
      <c r="T188" s="611"/>
      <c r="U188" s="611"/>
      <c r="V188" s="611"/>
      <c r="W188" s="611"/>
      <c r="X188" s="611"/>
      <c r="Y188" s="611"/>
      <c r="Z188" s="611"/>
      <c r="AA188" s="611"/>
      <c r="AB188" s="611"/>
      <c r="AC188" s="611"/>
      <c r="AD188" s="611"/>
      <c r="AE188" s="611"/>
      <c r="AF188" s="611"/>
      <c r="AG188" s="611"/>
      <c r="AH188" s="611"/>
      <c r="AI188" s="611"/>
      <c r="AJ188" s="611"/>
      <c r="AK188" s="611"/>
    </row>
    <row r="189" spans="1:37">
      <c r="A189" s="611"/>
      <c r="B189" s="611"/>
      <c r="C189" s="611"/>
      <c r="D189" s="611"/>
      <c r="E189" s="611"/>
      <c r="F189" s="611"/>
      <c r="G189" s="611"/>
      <c r="H189" s="611"/>
      <c r="I189" s="611"/>
      <c r="J189" s="611"/>
      <c r="K189" s="611"/>
      <c r="L189" s="611"/>
      <c r="M189" s="611"/>
      <c r="N189" s="611"/>
      <c r="O189" s="611"/>
      <c r="P189" s="611"/>
      <c r="Q189" s="611"/>
      <c r="R189" s="611"/>
      <c r="S189" s="611"/>
      <c r="T189" s="611"/>
      <c r="U189" s="611"/>
      <c r="V189" s="611"/>
      <c r="W189" s="611"/>
      <c r="X189" s="611"/>
      <c r="Y189" s="611"/>
      <c r="Z189" s="611"/>
      <c r="AA189" s="611"/>
      <c r="AB189" s="611"/>
      <c r="AC189" s="611"/>
      <c r="AD189" s="611"/>
      <c r="AE189" s="611"/>
      <c r="AF189" s="611"/>
      <c r="AG189" s="611"/>
      <c r="AH189" s="611"/>
      <c r="AI189" s="611"/>
      <c r="AJ189" s="611"/>
      <c r="AK189" s="611"/>
    </row>
    <row r="190" spans="1:37">
      <c r="A190" s="611"/>
      <c r="B190" s="611"/>
      <c r="C190" s="611"/>
      <c r="D190" s="611"/>
      <c r="E190" s="611"/>
      <c r="F190" s="611"/>
      <c r="G190" s="611"/>
      <c r="H190" s="611"/>
      <c r="I190" s="611"/>
      <c r="J190" s="611"/>
      <c r="K190" s="611"/>
      <c r="L190" s="611"/>
      <c r="M190" s="611"/>
      <c r="N190" s="611"/>
      <c r="O190" s="611"/>
      <c r="P190" s="611"/>
      <c r="Q190" s="611"/>
      <c r="R190" s="611"/>
      <c r="S190" s="611"/>
      <c r="T190" s="611"/>
      <c r="U190" s="611"/>
      <c r="V190" s="611"/>
      <c r="W190" s="611"/>
      <c r="X190" s="611"/>
      <c r="Y190" s="611"/>
      <c r="Z190" s="611"/>
      <c r="AA190" s="611"/>
      <c r="AB190" s="611"/>
      <c r="AC190" s="611"/>
      <c r="AD190" s="611"/>
      <c r="AE190" s="611"/>
      <c r="AF190" s="611"/>
      <c r="AG190" s="611"/>
      <c r="AH190" s="611"/>
      <c r="AI190" s="611"/>
      <c r="AJ190" s="611"/>
      <c r="AK190" s="611"/>
    </row>
    <row r="191" spans="1:37">
      <c r="A191" s="611"/>
      <c r="B191" s="611"/>
      <c r="C191" s="611"/>
      <c r="D191" s="611"/>
      <c r="E191" s="611"/>
      <c r="F191" s="611"/>
      <c r="G191" s="611"/>
      <c r="H191" s="611"/>
      <c r="I191" s="611"/>
      <c r="J191" s="611"/>
      <c r="K191" s="611"/>
      <c r="L191" s="611"/>
      <c r="M191" s="611"/>
      <c r="N191" s="611"/>
      <c r="O191" s="611"/>
      <c r="P191" s="611"/>
      <c r="Q191" s="611"/>
      <c r="R191" s="611"/>
      <c r="S191" s="611"/>
      <c r="T191" s="611"/>
      <c r="U191" s="611"/>
      <c r="V191" s="611"/>
      <c r="W191" s="611"/>
      <c r="X191" s="611"/>
      <c r="Y191" s="611"/>
      <c r="Z191" s="611"/>
      <c r="AA191" s="611"/>
      <c r="AB191" s="611"/>
      <c r="AC191" s="611"/>
      <c r="AD191" s="611"/>
      <c r="AE191" s="611"/>
      <c r="AF191" s="611"/>
      <c r="AG191" s="611"/>
      <c r="AH191" s="611"/>
      <c r="AI191" s="611"/>
      <c r="AJ191" s="611"/>
      <c r="AK191" s="611"/>
    </row>
    <row r="192" spans="1:37">
      <c r="A192" s="611"/>
      <c r="B192" s="611"/>
      <c r="C192" s="611"/>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1"/>
      <c r="AE192" s="611"/>
      <c r="AF192" s="611"/>
      <c r="AG192" s="611"/>
      <c r="AH192" s="611"/>
      <c r="AI192" s="611"/>
      <c r="AJ192" s="611"/>
      <c r="AK192" s="611"/>
    </row>
    <row r="193" spans="1:37">
      <c r="A193" s="611"/>
      <c r="B193" s="611"/>
      <c r="C193" s="611"/>
      <c r="D193" s="611"/>
      <c r="E193" s="611"/>
      <c r="F193" s="611"/>
      <c r="G193" s="611"/>
      <c r="H193" s="611"/>
      <c r="I193" s="611"/>
      <c r="J193" s="611"/>
      <c r="K193" s="611"/>
      <c r="L193" s="611"/>
      <c r="M193" s="611"/>
      <c r="N193" s="611"/>
      <c r="O193" s="611"/>
      <c r="P193" s="611"/>
      <c r="Q193" s="611"/>
      <c r="R193" s="611"/>
      <c r="S193" s="611"/>
      <c r="T193" s="611"/>
      <c r="U193" s="611"/>
      <c r="V193" s="611"/>
      <c r="W193" s="611"/>
      <c r="X193" s="611"/>
      <c r="Y193" s="611"/>
      <c r="Z193" s="611"/>
      <c r="AA193" s="611"/>
      <c r="AB193" s="611"/>
      <c r="AC193" s="611"/>
      <c r="AD193" s="611"/>
      <c r="AE193" s="611"/>
      <c r="AF193" s="611"/>
      <c r="AG193" s="611"/>
      <c r="AH193" s="611"/>
      <c r="AI193" s="611"/>
      <c r="AJ193" s="611"/>
      <c r="AK193" s="611"/>
    </row>
    <row r="194" spans="1:37">
      <c r="A194" s="611"/>
      <c r="B194" s="611"/>
      <c r="C194" s="611"/>
      <c r="D194" s="611"/>
      <c r="E194" s="611"/>
      <c r="F194" s="611"/>
      <c r="G194" s="611"/>
      <c r="H194" s="611"/>
      <c r="I194" s="611"/>
      <c r="J194" s="611"/>
      <c r="K194" s="611"/>
      <c r="L194" s="611"/>
      <c r="M194" s="611"/>
      <c r="N194" s="611"/>
      <c r="O194" s="611"/>
      <c r="P194" s="611"/>
      <c r="Q194" s="611"/>
      <c r="R194" s="611"/>
      <c r="S194" s="611"/>
      <c r="T194" s="611"/>
      <c r="U194" s="611"/>
      <c r="V194" s="611"/>
      <c r="W194" s="611"/>
      <c r="X194" s="611"/>
      <c r="Y194" s="611"/>
      <c r="Z194" s="611"/>
      <c r="AA194" s="611"/>
      <c r="AB194" s="611"/>
      <c r="AC194" s="611"/>
      <c r="AD194" s="611"/>
      <c r="AE194" s="611"/>
      <c r="AF194" s="611"/>
      <c r="AG194" s="611"/>
      <c r="AH194" s="611"/>
      <c r="AI194" s="611"/>
      <c r="AJ194" s="611"/>
      <c r="AK194" s="611"/>
    </row>
    <row r="195" spans="1:37">
      <c r="A195" s="611"/>
      <c r="B195" s="611"/>
      <c r="C195" s="611"/>
      <c r="D195" s="611"/>
      <c r="E195" s="611"/>
      <c r="F195" s="611"/>
      <c r="G195" s="611"/>
      <c r="H195" s="611"/>
      <c r="I195" s="611"/>
      <c r="J195" s="611"/>
      <c r="K195" s="611"/>
      <c r="L195" s="611"/>
      <c r="M195" s="611"/>
      <c r="N195" s="611"/>
      <c r="O195" s="611"/>
      <c r="P195" s="611"/>
      <c r="Q195" s="611"/>
      <c r="R195" s="611"/>
      <c r="S195" s="611"/>
      <c r="T195" s="611"/>
      <c r="U195" s="611"/>
      <c r="V195" s="611"/>
      <c r="W195" s="611"/>
      <c r="X195" s="611"/>
      <c r="Y195" s="611"/>
      <c r="Z195" s="611"/>
      <c r="AA195" s="611"/>
      <c r="AB195" s="611"/>
      <c r="AC195" s="611"/>
      <c r="AD195" s="611"/>
      <c r="AE195" s="611"/>
      <c r="AF195" s="611"/>
      <c r="AG195" s="611"/>
      <c r="AH195" s="611"/>
      <c r="AI195" s="611"/>
      <c r="AJ195" s="611"/>
      <c r="AK195" s="611"/>
    </row>
    <row r="196" spans="1:37">
      <c r="A196" s="611"/>
      <c r="B196" s="611"/>
      <c r="C196" s="611"/>
      <c r="D196" s="611"/>
      <c r="E196" s="611"/>
      <c r="F196" s="611"/>
      <c r="G196" s="611"/>
      <c r="H196" s="611"/>
      <c r="I196" s="611"/>
      <c r="J196" s="611"/>
      <c r="K196" s="611"/>
      <c r="L196" s="611"/>
      <c r="M196" s="611"/>
      <c r="N196" s="611"/>
      <c r="O196" s="611"/>
      <c r="P196" s="611"/>
      <c r="Q196" s="611"/>
      <c r="R196" s="611"/>
      <c r="S196" s="611"/>
      <c r="T196" s="611"/>
      <c r="U196" s="611"/>
      <c r="V196" s="611"/>
      <c r="W196" s="611"/>
      <c r="X196" s="611"/>
      <c r="Y196" s="611"/>
      <c r="Z196" s="611"/>
      <c r="AA196" s="611"/>
      <c r="AB196" s="611"/>
      <c r="AC196" s="611"/>
      <c r="AD196" s="611"/>
      <c r="AE196" s="611"/>
      <c r="AF196" s="611"/>
      <c r="AG196" s="611"/>
      <c r="AH196" s="611"/>
      <c r="AI196" s="611"/>
      <c r="AJ196" s="611"/>
      <c r="AK196" s="611"/>
    </row>
    <row r="197" spans="1:37">
      <c r="A197" s="611"/>
      <c r="B197" s="611"/>
      <c r="C197" s="611"/>
      <c r="D197" s="611"/>
      <c r="E197" s="611"/>
      <c r="F197" s="611"/>
      <c r="G197" s="611"/>
      <c r="H197" s="611"/>
      <c r="I197" s="611"/>
      <c r="J197" s="611"/>
      <c r="K197" s="611"/>
      <c r="L197" s="611"/>
      <c r="M197" s="611"/>
      <c r="N197" s="611"/>
      <c r="O197" s="611"/>
      <c r="P197" s="611"/>
      <c r="Q197" s="611"/>
      <c r="R197" s="611"/>
      <c r="S197" s="611"/>
      <c r="T197" s="611"/>
      <c r="U197" s="611"/>
      <c r="V197" s="611"/>
      <c r="W197" s="611"/>
      <c r="X197" s="611"/>
      <c r="Y197" s="611"/>
      <c r="Z197" s="611"/>
      <c r="AA197" s="611"/>
      <c r="AB197" s="611"/>
      <c r="AC197" s="611"/>
      <c r="AD197" s="611"/>
      <c r="AE197" s="611"/>
      <c r="AF197" s="611"/>
      <c r="AG197" s="611"/>
      <c r="AH197" s="611"/>
      <c r="AI197" s="611"/>
      <c r="AJ197" s="611"/>
      <c r="AK197" s="611"/>
    </row>
    <row r="198" spans="1:37">
      <c r="A198" s="611"/>
      <c r="B198" s="611"/>
      <c r="C198" s="611"/>
      <c r="D198" s="611"/>
      <c r="E198" s="611"/>
      <c r="F198" s="611"/>
      <c r="G198" s="611"/>
      <c r="H198" s="611"/>
      <c r="I198" s="611"/>
      <c r="J198" s="611"/>
      <c r="K198" s="611"/>
      <c r="L198" s="611"/>
      <c r="M198" s="611"/>
      <c r="N198" s="611"/>
      <c r="O198" s="611"/>
      <c r="P198" s="611"/>
      <c r="Q198" s="611"/>
      <c r="R198" s="611"/>
      <c r="S198" s="611"/>
      <c r="T198" s="611"/>
      <c r="U198" s="611"/>
      <c r="V198" s="611"/>
      <c r="W198" s="611"/>
      <c r="X198" s="611"/>
      <c r="Y198" s="611"/>
      <c r="Z198" s="611"/>
      <c r="AA198" s="611"/>
      <c r="AB198" s="611"/>
      <c r="AC198" s="611"/>
      <c r="AD198" s="611"/>
      <c r="AE198" s="611"/>
      <c r="AF198" s="611"/>
      <c r="AG198" s="611"/>
      <c r="AH198" s="611"/>
      <c r="AI198" s="611"/>
      <c r="AJ198" s="611"/>
      <c r="AK198" s="611"/>
    </row>
    <row r="199" spans="1:37">
      <c r="A199" s="611"/>
      <c r="B199" s="611"/>
      <c r="C199" s="611"/>
      <c r="D199" s="611"/>
      <c r="E199" s="611"/>
      <c r="F199" s="611"/>
      <c r="G199" s="611"/>
      <c r="H199" s="611"/>
      <c r="I199" s="611"/>
      <c r="J199" s="611"/>
      <c r="K199" s="611"/>
      <c r="L199" s="611"/>
      <c r="M199" s="611"/>
      <c r="N199" s="611"/>
      <c r="O199" s="611"/>
      <c r="P199" s="611"/>
      <c r="Q199" s="611"/>
      <c r="R199" s="611"/>
      <c r="S199" s="611"/>
      <c r="T199" s="611"/>
      <c r="U199" s="611"/>
      <c r="V199" s="611"/>
      <c r="W199" s="611"/>
      <c r="X199" s="611"/>
      <c r="Y199" s="611"/>
      <c r="Z199" s="611"/>
      <c r="AA199" s="611"/>
      <c r="AB199" s="611"/>
      <c r="AC199" s="611"/>
      <c r="AD199" s="611"/>
      <c r="AE199" s="611"/>
      <c r="AF199" s="611"/>
      <c r="AG199" s="611"/>
      <c r="AH199" s="611"/>
      <c r="AI199" s="611"/>
      <c r="AJ199" s="611"/>
      <c r="AK199" s="611"/>
    </row>
    <row r="200" spans="1:37">
      <c r="A200" s="611"/>
      <c r="B200" s="611"/>
      <c r="C200" s="611"/>
      <c r="D200" s="611"/>
      <c r="E200" s="611"/>
      <c r="F200" s="611"/>
      <c r="G200" s="611"/>
      <c r="H200" s="611"/>
      <c r="I200" s="611"/>
      <c r="J200" s="611"/>
      <c r="K200" s="611"/>
      <c r="L200" s="611"/>
      <c r="M200" s="611"/>
      <c r="N200" s="611"/>
      <c r="O200" s="611"/>
      <c r="P200" s="611"/>
      <c r="Q200" s="611"/>
      <c r="R200" s="611"/>
      <c r="S200" s="611"/>
      <c r="T200" s="611"/>
      <c r="U200" s="611"/>
      <c r="V200" s="611"/>
      <c r="W200" s="611"/>
      <c r="X200" s="611"/>
      <c r="Y200" s="611"/>
      <c r="Z200" s="611"/>
      <c r="AA200" s="611"/>
      <c r="AB200" s="611"/>
      <c r="AC200" s="611"/>
      <c r="AD200" s="611"/>
      <c r="AE200" s="611"/>
      <c r="AF200" s="611"/>
      <c r="AG200" s="611"/>
      <c r="AH200" s="611"/>
      <c r="AI200" s="611"/>
      <c r="AJ200" s="611"/>
      <c r="AK200" s="611"/>
    </row>
    <row r="201" spans="1:37">
      <c r="A201" s="611"/>
      <c r="B201" s="611"/>
      <c r="C201" s="611"/>
      <c r="D201" s="611"/>
      <c r="E201" s="611"/>
      <c r="F201" s="611"/>
      <c r="G201" s="611"/>
      <c r="H201" s="611"/>
      <c r="I201" s="611"/>
      <c r="J201" s="611"/>
      <c r="K201" s="611"/>
      <c r="L201" s="611"/>
      <c r="M201" s="611"/>
      <c r="N201" s="611"/>
      <c r="O201" s="611"/>
      <c r="P201" s="611"/>
      <c r="Q201" s="611"/>
      <c r="R201" s="611"/>
      <c r="S201" s="611"/>
      <c r="T201" s="611"/>
      <c r="U201" s="611"/>
      <c r="V201" s="611"/>
      <c r="W201" s="611"/>
      <c r="X201" s="611"/>
      <c r="Y201" s="611"/>
      <c r="Z201" s="611"/>
      <c r="AA201" s="611"/>
      <c r="AB201" s="611"/>
      <c r="AC201" s="611"/>
      <c r="AD201" s="611"/>
      <c r="AE201" s="611"/>
      <c r="AF201" s="611"/>
      <c r="AG201" s="611"/>
      <c r="AH201" s="611"/>
      <c r="AI201" s="611"/>
      <c r="AJ201" s="611"/>
      <c r="AK201" s="611"/>
    </row>
    <row r="202" spans="1:37">
      <c r="A202" s="611"/>
      <c r="B202" s="611"/>
      <c r="C202" s="611"/>
      <c r="D202" s="611"/>
      <c r="E202" s="611"/>
      <c r="F202" s="611"/>
      <c r="G202" s="611"/>
      <c r="H202" s="611"/>
      <c r="I202" s="611"/>
      <c r="J202" s="611"/>
      <c r="K202" s="611"/>
      <c r="L202" s="611"/>
      <c r="M202" s="611"/>
      <c r="N202" s="611"/>
      <c r="O202" s="611"/>
      <c r="P202" s="611"/>
      <c r="Q202" s="611"/>
      <c r="R202" s="611"/>
      <c r="S202" s="611"/>
      <c r="T202" s="611"/>
      <c r="U202" s="611"/>
      <c r="V202" s="611"/>
      <c r="W202" s="611"/>
      <c r="X202" s="611"/>
      <c r="Y202" s="611"/>
      <c r="Z202" s="611"/>
      <c r="AA202" s="611"/>
      <c r="AB202" s="611"/>
      <c r="AC202" s="611"/>
      <c r="AD202" s="611"/>
      <c r="AE202" s="611"/>
      <c r="AF202" s="611"/>
      <c r="AG202" s="611"/>
      <c r="AH202" s="611"/>
      <c r="AI202" s="611"/>
      <c r="AJ202" s="611"/>
      <c r="AK202" s="611"/>
    </row>
    <row r="203" spans="1:37">
      <c r="A203" s="611"/>
      <c r="B203" s="611"/>
      <c r="C203" s="611"/>
      <c r="D203" s="611"/>
      <c r="E203" s="611"/>
      <c r="F203" s="611"/>
      <c r="G203" s="611"/>
      <c r="H203" s="611"/>
      <c r="I203" s="611"/>
      <c r="J203" s="611"/>
      <c r="K203" s="611"/>
      <c r="L203" s="611"/>
      <c r="M203" s="611"/>
      <c r="N203" s="611"/>
      <c r="O203" s="611"/>
      <c r="P203" s="611"/>
      <c r="Q203" s="611"/>
      <c r="R203" s="611"/>
      <c r="S203" s="611"/>
      <c r="T203" s="611"/>
      <c r="U203" s="611"/>
      <c r="V203" s="611"/>
      <c r="W203" s="611"/>
      <c r="X203" s="611"/>
      <c r="Y203" s="611"/>
      <c r="Z203" s="611"/>
      <c r="AA203" s="611"/>
      <c r="AB203" s="611"/>
      <c r="AC203" s="611"/>
      <c r="AD203" s="611"/>
      <c r="AE203" s="611"/>
      <c r="AF203" s="611"/>
      <c r="AG203" s="611"/>
      <c r="AH203" s="611"/>
      <c r="AI203" s="611"/>
      <c r="AJ203" s="611"/>
      <c r="AK203" s="611"/>
    </row>
    <row r="204" spans="1:37">
      <c r="A204" s="611"/>
      <c r="B204" s="611"/>
      <c r="C204" s="611"/>
      <c r="D204" s="611"/>
      <c r="E204" s="611"/>
      <c r="F204" s="611"/>
      <c r="G204" s="611"/>
      <c r="H204" s="611"/>
      <c r="I204" s="611"/>
      <c r="J204" s="611"/>
      <c r="K204" s="611"/>
      <c r="L204" s="611"/>
      <c r="M204" s="611"/>
      <c r="N204" s="611"/>
      <c r="O204" s="611"/>
      <c r="P204" s="611"/>
      <c r="Q204" s="611"/>
      <c r="R204" s="611"/>
      <c r="S204" s="611"/>
      <c r="T204" s="611"/>
      <c r="U204" s="611"/>
      <c r="V204" s="611"/>
      <c r="W204" s="611"/>
      <c r="X204" s="611"/>
      <c r="Y204" s="611"/>
      <c r="Z204" s="611"/>
      <c r="AA204" s="611"/>
      <c r="AB204" s="611"/>
      <c r="AC204" s="611"/>
      <c r="AD204" s="611"/>
      <c r="AE204" s="611"/>
      <c r="AF204" s="611"/>
      <c r="AG204" s="611"/>
      <c r="AH204" s="611"/>
      <c r="AI204" s="611"/>
      <c r="AJ204" s="611"/>
      <c r="AK204" s="611"/>
    </row>
    <row r="205" spans="1:37">
      <c r="A205" s="611"/>
      <c r="B205" s="611"/>
      <c r="C205" s="611"/>
      <c r="D205" s="611"/>
      <c r="E205" s="611"/>
      <c r="F205" s="611"/>
      <c r="G205" s="611"/>
      <c r="H205" s="611"/>
      <c r="I205" s="611"/>
      <c r="J205" s="611"/>
      <c r="K205" s="611"/>
      <c r="L205" s="611"/>
      <c r="M205" s="611"/>
      <c r="N205" s="611"/>
      <c r="O205" s="611"/>
      <c r="P205" s="611"/>
      <c r="Q205" s="611"/>
      <c r="R205" s="611"/>
      <c r="S205" s="611"/>
      <c r="T205" s="611"/>
      <c r="U205" s="611"/>
      <c r="V205" s="611"/>
      <c r="W205" s="611"/>
      <c r="X205" s="611"/>
      <c r="Y205" s="611"/>
      <c r="Z205" s="611"/>
      <c r="AA205" s="611"/>
      <c r="AB205" s="611"/>
      <c r="AC205" s="611"/>
      <c r="AD205" s="611"/>
      <c r="AE205" s="611"/>
      <c r="AF205" s="611"/>
      <c r="AG205" s="611"/>
      <c r="AH205" s="611"/>
      <c r="AI205" s="611"/>
      <c r="AJ205" s="611"/>
      <c r="AK205" s="611"/>
    </row>
    <row r="206" spans="1:37">
      <c r="A206" s="611"/>
      <c r="B206" s="611"/>
      <c r="C206" s="611"/>
      <c r="D206" s="611"/>
      <c r="E206" s="611"/>
      <c r="F206" s="611"/>
      <c r="G206" s="611"/>
      <c r="H206" s="611"/>
      <c r="I206" s="611"/>
      <c r="J206" s="611"/>
      <c r="K206" s="611"/>
      <c r="L206" s="611"/>
      <c r="M206" s="611"/>
      <c r="N206" s="611"/>
      <c r="O206" s="611"/>
      <c r="P206" s="611"/>
      <c r="Q206" s="611"/>
      <c r="R206" s="611"/>
      <c r="S206" s="611"/>
      <c r="T206" s="611"/>
      <c r="U206" s="611"/>
      <c r="V206" s="611"/>
      <c r="W206" s="611"/>
      <c r="X206" s="611"/>
      <c r="Y206" s="611"/>
      <c r="Z206" s="611"/>
      <c r="AA206" s="611"/>
      <c r="AB206" s="611"/>
      <c r="AC206" s="611"/>
      <c r="AD206" s="611"/>
      <c r="AE206" s="611"/>
      <c r="AF206" s="611"/>
      <c r="AG206" s="611"/>
      <c r="AH206" s="611"/>
      <c r="AI206" s="611"/>
      <c r="AJ206" s="611"/>
      <c r="AK206" s="611"/>
    </row>
    <row r="207" spans="1:37">
      <c r="A207" s="611"/>
      <c r="B207" s="611"/>
      <c r="C207" s="611"/>
      <c r="D207" s="611"/>
      <c r="E207" s="611"/>
      <c r="F207" s="611"/>
      <c r="G207" s="611"/>
      <c r="H207" s="611"/>
      <c r="I207" s="611"/>
      <c r="J207" s="611"/>
      <c r="K207" s="611"/>
      <c r="L207" s="611"/>
      <c r="M207" s="611"/>
      <c r="N207" s="611"/>
      <c r="O207" s="611"/>
      <c r="P207" s="611"/>
      <c r="Q207" s="611"/>
      <c r="R207" s="611"/>
      <c r="S207" s="611"/>
      <c r="T207" s="611"/>
      <c r="U207" s="611"/>
      <c r="V207" s="611"/>
      <c r="W207" s="611"/>
      <c r="X207" s="611"/>
      <c r="Y207" s="611"/>
      <c r="Z207" s="611"/>
      <c r="AA207" s="611"/>
      <c r="AB207" s="611"/>
      <c r="AC207" s="611"/>
      <c r="AD207" s="611"/>
      <c r="AE207" s="611"/>
      <c r="AF207" s="611"/>
      <c r="AG207" s="611"/>
      <c r="AH207" s="611"/>
      <c r="AI207" s="611"/>
      <c r="AJ207" s="611"/>
      <c r="AK207" s="611"/>
    </row>
    <row r="208" spans="1:37">
      <c r="A208" s="611"/>
      <c r="B208" s="611"/>
      <c r="C208" s="611"/>
      <c r="D208" s="611"/>
      <c r="E208" s="611"/>
      <c r="F208" s="611"/>
      <c r="G208" s="611"/>
      <c r="H208" s="611"/>
      <c r="I208" s="611"/>
      <c r="J208" s="611"/>
      <c r="K208" s="611"/>
      <c r="L208" s="611"/>
      <c r="M208" s="611"/>
      <c r="N208" s="611"/>
      <c r="O208" s="611"/>
      <c r="P208" s="611"/>
      <c r="Q208" s="611"/>
      <c r="R208" s="611"/>
      <c r="S208" s="611"/>
      <c r="T208" s="611"/>
      <c r="U208" s="611"/>
      <c r="V208" s="611"/>
      <c r="W208" s="611"/>
      <c r="X208" s="611"/>
      <c r="Y208" s="611"/>
      <c r="Z208" s="611"/>
      <c r="AA208" s="611"/>
      <c r="AB208" s="611"/>
      <c r="AC208" s="611"/>
      <c r="AD208" s="611"/>
      <c r="AE208" s="611"/>
      <c r="AF208" s="611"/>
      <c r="AG208" s="611"/>
      <c r="AH208" s="611"/>
      <c r="AI208" s="611"/>
      <c r="AJ208" s="611"/>
      <c r="AK208" s="611"/>
    </row>
    <row r="209" spans="1:37">
      <c r="A209" s="611"/>
      <c r="B209" s="611"/>
      <c r="C209" s="611"/>
      <c r="D209" s="611"/>
      <c r="E209" s="611"/>
      <c r="F209" s="611"/>
      <c r="G209" s="611"/>
      <c r="H209" s="611"/>
      <c r="I209" s="611"/>
      <c r="J209" s="611"/>
      <c r="K209" s="611"/>
      <c r="L209" s="611"/>
      <c r="M209" s="611"/>
      <c r="N209" s="611"/>
      <c r="O209" s="611"/>
      <c r="P209" s="611"/>
      <c r="Q209" s="611"/>
      <c r="R209" s="611"/>
      <c r="S209" s="611"/>
      <c r="T209" s="611"/>
      <c r="U209" s="611"/>
      <c r="V209" s="611"/>
      <c r="W209" s="611"/>
      <c r="X209" s="611"/>
      <c r="Y209" s="611"/>
      <c r="Z209" s="611"/>
      <c r="AA209" s="611"/>
      <c r="AB209" s="611"/>
      <c r="AC209" s="611"/>
      <c r="AD209" s="611"/>
      <c r="AE209" s="611"/>
      <c r="AF209" s="611"/>
      <c r="AG209" s="611"/>
      <c r="AH209" s="611"/>
      <c r="AI209" s="611"/>
      <c r="AJ209" s="611"/>
      <c r="AK209" s="611"/>
    </row>
    <row r="210" spans="1:37">
      <c r="A210" s="611"/>
      <c r="B210" s="611"/>
      <c r="C210" s="611"/>
      <c r="D210" s="611"/>
      <c r="E210" s="611"/>
      <c r="F210" s="611"/>
      <c r="G210" s="611"/>
      <c r="H210" s="611"/>
      <c r="I210" s="611"/>
      <c r="J210" s="611"/>
      <c r="K210" s="611"/>
      <c r="L210" s="611"/>
      <c r="M210" s="611"/>
      <c r="N210" s="611"/>
      <c r="O210" s="611"/>
      <c r="P210" s="611"/>
      <c r="Q210" s="611"/>
      <c r="R210" s="611"/>
      <c r="S210" s="611"/>
      <c r="T210" s="611"/>
      <c r="U210" s="611"/>
      <c r="V210" s="611"/>
      <c r="W210" s="611"/>
      <c r="X210" s="611"/>
      <c r="Y210" s="611"/>
      <c r="Z210" s="611"/>
      <c r="AA210" s="611"/>
      <c r="AB210" s="611"/>
      <c r="AC210" s="611"/>
      <c r="AD210" s="611"/>
      <c r="AE210" s="611"/>
      <c r="AF210" s="611"/>
      <c r="AG210" s="611"/>
      <c r="AH210" s="611"/>
      <c r="AI210" s="611"/>
      <c r="AJ210" s="611"/>
      <c r="AK210" s="611"/>
    </row>
    <row r="211" spans="1:37">
      <c r="B211" s="611"/>
      <c r="C211" s="611"/>
      <c r="D211" s="611"/>
      <c r="E211" s="611"/>
      <c r="F211" s="611"/>
      <c r="G211" s="611"/>
      <c r="H211" s="611"/>
      <c r="I211" s="611"/>
      <c r="J211" s="611"/>
      <c r="K211" s="611"/>
      <c r="L211" s="611"/>
    </row>
    <row r="212" spans="1:37">
      <c r="B212" s="611"/>
      <c r="C212" s="611"/>
      <c r="D212" s="611"/>
      <c r="E212" s="611"/>
      <c r="F212" s="611"/>
      <c r="G212" s="611"/>
      <c r="H212" s="611"/>
      <c r="I212" s="611"/>
      <c r="J212" s="611"/>
      <c r="K212" s="611"/>
      <c r="L212" s="611"/>
    </row>
    <row r="213" spans="1:37">
      <c r="B213" s="611"/>
      <c r="C213" s="611"/>
      <c r="D213" s="611"/>
      <c r="E213" s="611"/>
      <c r="F213" s="611"/>
      <c r="G213" s="611"/>
      <c r="H213" s="611"/>
      <c r="I213" s="611"/>
      <c r="J213" s="611"/>
      <c r="K213" s="611"/>
      <c r="L213" s="611"/>
    </row>
    <row r="214" spans="1:37">
      <c r="B214" s="611"/>
      <c r="C214" s="611"/>
      <c r="D214" s="611"/>
      <c r="E214" s="611"/>
      <c r="F214" s="611"/>
      <c r="G214" s="611"/>
      <c r="H214" s="611"/>
      <c r="I214" s="611"/>
      <c r="J214" s="611"/>
      <c r="K214" s="611"/>
      <c r="L214" s="611"/>
    </row>
    <row r="215" spans="1:37">
      <c r="B215" s="611"/>
      <c r="C215" s="611"/>
      <c r="D215" s="611"/>
      <c r="E215" s="611"/>
      <c r="F215" s="611"/>
      <c r="G215" s="611"/>
      <c r="H215" s="611"/>
      <c r="I215" s="611"/>
      <c r="J215" s="611"/>
      <c r="K215" s="611"/>
      <c r="L215" s="611"/>
    </row>
    <row r="216" spans="1:37">
      <c r="B216" s="611"/>
      <c r="C216" s="611"/>
      <c r="D216" s="611"/>
      <c r="E216" s="611"/>
      <c r="F216" s="611"/>
      <c r="G216" s="611"/>
      <c r="H216" s="611"/>
      <c r="I216" s="611"/>
      <c r="J216" s="611"/>
      <c r="K216" s="611"/>
      <c r="L216" s="611"/>
    </row>
    <row r="217" spans="1:37">
      <c r="B217" s="611"/>
      <c r="C217" s="611"/>
      <c r="D217" s="611"/>
      <c r="E217" s="611"/>
      <c r="F217" s="611"/>
      <c r="G217" s="611"/>
      <c r="H217" s="611"/>
      <c r="I217" s="611"/>
      <c r="J217" s="611"/>
      <c r="K217" s="611"/>
      <c r="L217" s="611"/>
    </row>
  </sheetData>
  <sheetProtection algorithmName="SHA-512" hashValue="08YzFiJQhsXelv+HPEUDMSPw9py3Ulqrv6bvonUNo2b7RyBuUBMbi8YIKMnhQSYX8ZWrrFvlPaNiQXgptiDDUw==" saltValue="IUzZF9yE9FeVbHZaHcTgxQ==" spinCount="100000" sheet="1" objects="1" scenarios="1"/>
  <mergeCells count="53">
    <mergeCell ref="B51:L51"/>
    <mergeCell ref="A52:A53"/>
    <mergeCell ref="B52:L52"/>
    <mergeCell ref="J76:L76"/>
    <mergeCell ref="B78:L78"/>
    <mergeCell ref="B54:D54"/>
    <mergeCell ref="F54:H54"/>
    <mergeCell ref="J54:L54"/>
    <mergeCell ref="A65:A66"/>
    <mergeCell ref="B66:D66"/>
    <mergeCell ref="F66:H66"/>
    <mergeCell ref="J66:L66"/>
    <mergeCell ref="A47:A50"/>
    <mergeCell ref="B47:L47"/>
    <mergeCell ref="B48:C48"/>
    <mergeCell ref="F48:G48"/>
    <mergeCell ref="J48:K48"/>
    <mergeCell ref="B49:C49"/>
    <mergeCell ref="F49:G49"/>
    <mergeCell ref="J49:K49"/>
    <mergeCell ref="B40:L40"/>
    <mergeCell ref="A41:A45"/>
    <mergeCell ref="B41:L41"/>
    <mergeCell ref="N44:N45"/>
    <mergeCell ref="B46:L46"/>
    <mergeCell ref="B30:L30"/>
    <mergeCell ref="A31:A39"/>
    <mergeCell ref="B31:L31"/>
    <mergeCell ref="P35:T36"/>
    <mergeCell ref="B38:D38"/>
    <mergeCell ref="F38:H38"/>
    <mergeCell ref="J38:L38"/>
    <mergeCell ref="B21:L21"/>
    <mergeCell ref="A22:A29"/>
    <mergeCell ref="B22:L22"/>
    <mergeCell ref="P22:T25"/>
    <mergeCell ref="P27:T28"/>
    <mergeCell ref="P3:W3"/>
    <mergeCell ref="B4:L4"/>
    <mergeCell ref="A5:A7"/>
    <mergeCell ref="B8:L8"/>
    <mergeCell ref="A9:A20"/>
    <mergeCell ref="B9:L9"/>
    <mergeCell ref="P11:S11"/>
    <mergeCell ref="R13:S13"/>
    <mergeCell ref="R14:S14"/>
    <mergeCell ref="N15:N16"/>
    <mergeCell ref="N19:N20"/>
    <mergeCell ref="A1:A3"/>
    <mergeCell ref="B1:L1"/>
    <mergeCell ref="B2:D2"/>
    <mergeCell ref="F2:H2"/>
    <mergeCell ref="J2:L2"/>
  </mergeCells>
  <hyperlinks>
    <hyperlink ref="P3" r:id="rId1" display="MSU Bulletin E-2904, Nutrient Recommendations for Field Crops in Michigan" xr:uid="{361ED0C4-7DE1-4DF3-B0D5-A5CB050C0BD0}"/>
    <hyperlink ref="P4" r:id="rId2" xr:uid="{1331998C-6F32-4DEF-8F55-A9C4DE97F1CD}"/>
    <hyperlink ref="P7" r:id="rId3" xr:uid="{E93E52C6-A2CF-4A36-AE5C-D5AF4E542005}"/>
    <hyperlink ref="P9" r:id="rId4" xr:uid="{D89AD223-6564-42E7-B00B-BE6EC4FAA767}"/>
    <hyperlink ref="P32" r:id="rId5" xr:uid="{DE697DEB-11A4-4435-A19C-B0DABBBC7A6E}"/>
    <hyperlink ref="P31" r:id="rId6" xr:uid="{F185327D-823F-439B-801C-530F40BD9BA1}"/>
    <hyperlink ref="P3:W3" r:id="rId7" display="MSU Bulletin E-2934, Nutrient Recommendations for Vegetables in Michigan" xr:uid="{6ECE450E-7490-4F99-9998-BF502391727A}"/>
  </hyperlinks>
  <printOptions horizontalCentered="1"/>
  <pageMargins left="0.7" right="0.7" top="0.5" bottom="0.5" header="0.3" footer="0.3"/>
  <pageSetup scale="66" orientation="portrait" horizontalDpi="4294967294" verticalDpi="4294967294" r:id="rId8"/>
  <colBreaks count="1" manualBreakCount="1">
    <brk id="12" max="1048575" man="1"/>
  </colBreaks>
  <drawing r:id="rId9"/>
  <extLst>
    <ext xmlns:x14="http://schemas.microsoft.com/office/spreadsheetml/2009/9/main" uri="{CCE6A557-97BC-4b89-ADB6-D9C93CAAB3DF}">
      <x14:dataValidations xmlns:xm="http://schemas.microsoft.com/office/excel/2006/main" count="2">
        <x14:dataValidation type="list" allowBlank="1" showInputMessage="1" showErrorMessage="1" xr:uid="{36A868C8-78A6-4433-9EF9-4F51785A6513}">
          <x14:formula1>
            <xm:f>'Manure and Nutrient Credits'!$A$26:$A$30</xm:f>
          </x14:formula1>
          <xm:sqref>D37 H37 L37</xm:sqref>
        </x14:dataValidation>
        <x14:dataValidation type="list" allowBlank="1" showInputMessage="1" showErrorMessage="1" xr:uid="{77AB7964-C437-4759-83C8-0B72BD3169B7}">
          <x14:formula1>
            <xm:f>'Manure and Nutrient Credits'!$A$3:$A$16</xm:f>
          </x14:formula1>
          <xm:sqref>B49:C49 F49:G49 J49:K49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1E34-0324-4655-8E07-2465D2964B12}">
  <sheetPr codeName="Sheet13"/>
  <dimension ref="A3:L44"/>
  <sheetViews>
    <sheetView topLeftCell="A22" workbookViewId="0">
      <selection activeCell="D27" sqref="D27"/>
    </sheetView>
  </sheetViews>
  <sheetFormatPr defaultColWidth="8.85546875" defaultRowHeight="15"/>
  <cols>
    <col min="1" max="1" width="18.42578125" bestFit="1" customWidth="1"/>
    <col min="5" max="5" width="8.85546875" bestFit="1" customWidth="1"/>
    <col min="6" max="6" width="11.42578125" bestFit="1" customWidth="1"/>
    <col min="7" max="7" width="10.140625" bestFit="1" customWidth="1"/>
  </cols>
  <sheetData>
    <row r="3" spans="1:12">
      <c r="A3" t="s">
        <v>514</v>
      </c>
      <c r="B3">
        <v>0</v>
      </c>
      <c r="L3" t="s">
        <v>585</v>
      </c>
    </row>
    <row r="4" spans="1:12">
      <c r="A4" t="s">
        <v>584</v>
      </c>
      <c r="B4">
        <v>40</v>
      </c>
      <c r="L4" t="s">
        <v>507</v>
      </c>
    </row>
    <row r="5" spans="1:12">
      <c r="A5" t="s">
        <v>583</v>
      </c>
      <c r="B5">
        <v>40</v>
      </c>
      <c r="L5" t="s">
        <v>511</v>
      </c>
    </row>
    <row r="6" spans="1:12">
      <c r="A6" t="s">
        <v>582</v>
      </c>
      <c r="B6">
        <v>40</v>
      </c>
    </row>
    <row r="7" spans="1:12">
      <c r="A7" t="s">
        <v>581</v>
      </c>
      <c r="B7">
        <v>20</v>
      </c>
    </row>
    <row r="8" spans="1:12">
      <c r="A8" t="s">
        <v>580</v>
      </c>
      <c r="B8">
        <v>40</v>
      </c>
    </row>
    <row r="9" spans="1:12">
      <c r="A9" t="s">
        <v>579</v>
      </c>
      <c r="B9">
        <v>30</v>
      </c>
    </row>
    <row r="10" spans="1:12">
      <c r="A10" t="s">
        <v>578</v>
      </c>
      <c r="B10">
        <v>30</v>
      </c>
    </row>
    <row r="11" spans="1:12">
      <c r="A11" t="s">
        <v>577</v>
      </c>
      <c r="B11">
        <v>30</v>
      </c>
    </row>
    <row r="12" spans="1:12">
      <c r="A12" t="s">
        <v>576</v>
      </c>
      <c r="B12">
        <v>40</v>
      </c>
    </row>
    <row r="13" spans="1:12">
      <c r="A13" t="s">
        <v>575</v>
      </c>
      <c r="B13">
        <v>40</v>
      </c>
    </row>
    <row r="14" spans="1:12">
      <c r="A14" t="s">
        <v>574</v>
      </c>
      <c r="B14">
        <v>20</v>
      </c>
    </row>
    <row r="15" spans="1:12">
      <c r="A15" t="s">
        <v>116</v>
      </c>
      <c r="B15">
        <v>30</v>
      </c>
    </row>
    <row r="16" spans="1:12">
      <c r="A16" t="s">
        <v>573</v>
      </c>
      <c r="B16">
        <v>40</v>
      </c>
    </row>
    <row r="24" spans="1:8">
      <c r="A24" t="s">
        <v>403</v>
      </c>
    </row>
    <row r="25" spans="1:8">
      <c r="A25" t="s">
        <v>524</v>
      </c>
      <c r="B25" t="s">
        <v>569</v>
      </c>
      <c r="D25" t="s">
        <v>572</v>
      </c>
    </row>
    <row r="26" spans="1:8">
      <c r="A26" s="689" t="s">
        <v>523</v>
      </c>
      <c r="B26">
        <v>1</v>
      </c>
      <c r="D26" t="s">
        <v>41</v>
      </c>
      <c r="E26" t="s">
        <v>2</v>
      </c>
      <c r="F26" t="s">
        <v>3</v>
      </c>
      <c r="G26" t="s">
        <v>4</v>
      </c>
      <c r="H26" t="s">
        <v>5</v>
      </c>
    </row>
    <row r="27" spans="1:8">
      <c r="A27" s="688" t="s">
        <v>525</v>
      </c>
      <c r="B27">
        <v>0.7</v>
      </c>
      <c r="D27">
        <f>VLOOKUP('Nutrient Management'!D37,'Manure and Nutrient Credits'!A26:B30,2,FALSE)</f>
        <v>1</v>
      </c>
      <c r="E27">
        <f>$D$27*'Nutrient Management'!B34</f>
        <v>0</v>
      </c>
      <c r="F27">
        <f>$D$27*'Nutrient Management'!C34</f>
        <v>0</v>
      </c>
      <c r="G27">
        <f>$D$27*'Nutrient Management'!D34</f>
        <v>0</v>
      </c>
      <c r="H27">
        <f>$D$27*'Nutrient Management'!B36</f>
        <v>0</v>
      </c>
    </row>
    <row r="28" spans="1:8">
      <c r="A28" s="688" t="s">
        <v>568</v>
      </c>
      <c r="B28">
        <v>0.4</v>
      </c>
      <c r="D28" t="s">
        <v>571</v>
      </c>
    </row>
    <row r="29" spans="1:8">
      <c r="A29" s="688" t="s">
        <v>526</v>
      </c>
      <c r="B29">
        <v>0.2</v>
      </c>
    </row>
    <row r="30" spans="1:8">
      <c r="A30" s="688" t="s">
        <v>559</v>
      </c>
      <c r="B30">
        <v>0.1</v>
      </c>
      <c r="D30">
        <f>VLOOKUP('Nutrient Management'!H37,A26:B30,2,FALSE)</f>
        <v>1</v>
      </c>
      <c r="E30">
        <f>$D$30*'Nutrient Management'!F34</f>
        <v>0</v>
      </c>
      <c r="F30">
        <f>$D$30*'Nutrient Management'!G34</f>
        <v>0</v>
      </c>
      <c r="G30">
        <f>$D$30*'Nutrient Management'!H34</f>
        <v>0</v>
      </c>
      <c r="H30">
        <f>$D$30*'Nutrient Management'!F36</f>
        <v>0</v>
      </c>
    </row>
    <row r="31" spans="1:8">
      <c r="D31" t="s">
        <v>570</v>
      </c>
    </row>
    <row r="32" spans="1:8">
      <c r="A32" s="688"/>
    </row>
    <row r="33" spans="1:8">
      <c r="A33" s="688"/>
      <c r="D33">
        <f>VLOOKUP('Nutrient Management'!L37,A26:B30,2,FALSE)</f>
        <v>1</v>
      </c>
      <c r="E33">
        <f>$D$33*'Nutrient Management'!J34</f>
        <v>0</v>
      </c>
      <c r="F33">
        <f>$D$33*'Nutrient Management'!K34</f>
        <v>0</v>
      </c>
      <c r="G33">
        <f>$D$33*'Nutrient Management'!L34</f>
        <v>0</v>
      </c>
      <c r="H33">
        <f>$D$33*'Nutrient Management'!J36</f>
        <v>0</v>
      </c>
    </row>
    <row r="34" spans="1:8">
      <c r="A34" s="688"/>
    </row>
    <row r="35" spans="1:8">
      <c r="A35" s="688" t="s">
        <v>495</v>
      </c>
    </row>
    <row r="36" spans="1:8">
      <c r="A36" t="s">
        <v>524</v>
      </c>
      <c r="B36" t="s">
        <v>569</v>
      </c>
      <c r="D36" t="s">
        <v>555</v>
      </c>
    </row>
    <row r="37" spans="1:8">
      <c r="A37" s="689" t="s">
        <v>523</v>
      </c>
      <c r="B37">
        <v>1</v>
      </c>
      <c r="D37" t="s">
        <v>41</v>
      </c>
      <c r="E37" t="s">
        <v>2</v>
      </c>
      <c r="F37" t="s">
        <v>3</v>
      </c>
      <c r="G37" t="s">
        <v>4</v>
      </c>
      <c r="H37" t="s">
        <v>5</v>
      </c>
    </row>
    <row r="38" spans="1:8">
      <c r="A38" s="688" t="s">
        <v>525</v>
      </c>
      <c r="B38">
        <v>0.7</v>
      </c>
      <c r="D38">
        <f>VLOOKUP('Fertilizer Products &amp; Pricing'!Y49,'Manure and Nutrient Credits'!A37:B41,2,FALSE)</f>
        <v>1</v>
      </c>
      <c r="E38">
        <f>$D$38*'Fertilizer Products &amp; Pricing'!U49</f>
        <v>42</v>
      </c>
      <c r="F38">
        <f>$D$38*'Fertilizer Products &amp; Pricing'!V49</f>
        <v>75</v>
      </c>
      <c r="G38">
        <f>$D$38*'Fertilizer Products &amp; Pricing'!W49</f>
        <v>57</v>
      </c>
      <c r="H38">
        <f>$D$38*'Fertilizer Products &amp; Pricing'!X49</f>
        <v>8</v>
      </c>
    </row>
    <row r="39" spans="1:8">
      <c r="A39" s="688" t="s">
        <v>568</v>
      </c>
      <c r="B39">
        <v>0.4</v>
      </c>
      <c r="D39" t="s">
        <v>557</v>
      </c>
    </row>
    <row r="40" spans="1:8">
      <c r="A40" s="688" t="s">
        <v>526</v>
      </c>
      <c r="B40">
        <v>0.2</v>
      </c>
    </row>
    <row r="41" spans="1:8">
      <c r="A41" s="688" t="s">
        <v>559</v>
      </c>
      <c r="B41">
        <v>0.1</v>
      </c>
      <c r="D41">
        <f>VLOOKUP('Fertilizer Products &amp; Pricing'!Y54,'Manure and Nutrient Credits'!A37:B41,2,FALSE)</f>
        <v>1</v>
      </c>
      <c r="E41">
        <f>$D$41*'Fertilizer Products &amp; Pricing'!U54</f>
        <v>43</v>
      </c>
      <c r="F41">
        <f>$D$41*'Fertilizer Products &amp; Pricing'!V54</f>
        <v>17</v>
      </c>
      <c r="G41">
        <f>$D$41*'Fertilizer Products &amp; Pricing'!W54</f>
        <v>38</v>
      </c>
      <c r="H41">
        <f>$D$41*'Fertilizer Products &amp; Pricing'!X54</f>
        <v>10</v>
      </c>
    </row>
    <row r="43" spans="1:8">
      <c r="A43" s="688"/>
    </row>
    <row r="44" spans="1:8">
      <c r="A44" s="688"/>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1"/>
  <dimension ref="A1:AA96"/>
  <sheetViews>
    <sheetView zoomScale="80" zoomScaleNormal="80" workbookViewId="0">
      <selection activeCell="J80" sqref="J80:M83"/>
    </sheetView>
  </sheetViews>
  <sheetFormatPr defaultColWidth="9.140625" defaultRowHeight="15.75"/>
  <cols>
    <col min="1" max="1" width="38.140625" style="51" bestFit="1" customWidth="1"/>
    <col min="2" max="13" width="14.42578125" style="51" customWidth="1"/>
    <col min="14" max="14" width="9.42578125" style="51" customWidth="1"/>
    <col min="15" max="15" width="10.7109375" style="51" bestFit="1" customWidth="1"/>
    <col min="16" max="16" width="10.7109375" style="51" customWidth="1"/>
    <col min="17" max="17" width="16.28515625" style="51" bestFit="1" customWidth="1"/>
    <col min="18" max="18" width="14.28515625" style="51" bestFit="1" customWidth="1"/>
    <col min="19" max="16384" width="9.140625" style="51"/>
  </cols>
  <sheetData>
    <row r="1" spans="1:20">
      <c r="A1" s="51">
        <v>1</v>
      </c>
      <c r="B1" s="51">
        <v>2</v>
      </c>
      <c r="C1" s="51">
        <v>3</v>
      </c>
      <c r="D1" s="51">
        <v>4</v>
      </c>
      <c r="E1" s="51">
        <v>5</v>
      </c>
      <c r="F1" s="51">
        <v>6</v>
      </c>
      <c r="G1" s="51">
        <v>7</v>
      </c>
      <c r="H1" s="51">
        <v>8</v>
      </c>
      <c r="I1" s="51">
        <v>9</v>
      </c>
      <c r="J1" s="51">
        <v>10</v>
      </c>
      <c r="K1" s="51">
        <v>11</v>
      </c>
      <c r="L1" s="51">
        <v>12</v>
      </c>
      <c r="M1" s="51">
        <v>13</v>
      </c>
      <c r="N1" s="51">
        <v>14</v>
      </c>
      <c r="O1" s="51">
        <v>15</v>
      </c>
      <c r="P1" s="51">
        <v>16</v>
      </c>
      <c r="Q1" s="51">
        <v>17</v>
      </c>
      <c r="R1" s="51">
        <v>18</v>
      </c>
    </row>
    <row r="2" spans="1:20">
      <c r="B2" s="1022" t="s">
        <v>0</v>
      </c>
      <c r="C2" s="1022"/>
      <c r="D2" s="1022"/>
      <c r="E2" s="1022"/>
      <c r="F2" s="1022"/>
      <c r="G2" s="1022"/>
      <c r="H2" s="1022"/>
      <c r="I2" s="1022"/>
      <c r="J2" s="1022"/>
      <c r="K2" s="594"/>
      <c r="L2" s="594"/>
      <c r="M2" s="594"/>
      <c r="R2" s="481" t="s">
        <v>128</v>
      </c>
    </row>
    <row r="3" spans="1:20">
      <c r="A3" s="577" t="s">
        <v>1</v>
      </c>
      <c r="B3" s="48" t="s">
        <v>2</v>
      </c>
      <c r="C3" s="48" t="s">
        <v>3</v>
      </c>
      <c r="D3" s="48" t="s">
        <v>4</v>
      </c>
      <c r="E3" s="48" t="s">
        <v>5</v>
      </c>
      <c r="F3" s="48" t="s">
        <v>6</v>
      </c>
      <c r="G3" s="48" t="s">
        <v>7</v>
      </c>
      <c r="H3" s="48" t="s">
        <v>8</v>
      </c>
      <c r="I3" s="48" t="s">
        <v>9</v>
      </c>
      <c r="J3" s="48" t="s">
        <v>486</v>
      </c>
      <c r="K3" s="48" t="s">
        <v>849</v>
      </c>
      <c r="L3" s="48" t="s">
        <v>883</v>
      </c>
      <c r="M3" s="48" t="s">
        <v>884</v>
      </c>
      <c r="N3" s="2" t="s">
        <v>10</v>
      </c>
      <c r="O3" s="2" t="s">
        <v>885</v>
      </c>
      <c r="P3" s="2" t="s">
        <v>12</v>
      </c>
      <c r="Q3" s="2" t="s">
        <v>106</v>
      </c>
      <c r="R3" s="16" t="s">
        <v>506</v>
      </c>
    </row>
    <row r="4" spans="1:20" hidden="1">
      <c r="A4" s="2" t="s">
        <v>13</v>
      </c>
      <c r="B4" s="2"/>
      <c r="C4" s="2"/>
      <c r="D4" s="2"/>
      <c r="E4" s="2"/>
      <c r="F4" s="2"/>
      <c r="G4" s="2"/>
      <c r="H4" s="2"/>
      <c r="I4" s="2"/>
      <c r="J4" s="2"/>
      <c r="K4" s="2"/>
      <c r="L4" s="2"/>
      <c r="M4" s="2"/>
      <c r="N4" s="2"/>
      <c r="O4" s="2"/>
      <c r="P4" s="2">
        <v>1</v>
      </c>
      <c r="Q4" s="2" t="s">
        <v>13</v>
      </c>
      <c r="R4" s="51">
        <v>0</v>
      </c>
    </row>
    <row r="5" spans="1:20">
      <c r="A5" s="2" t="s">
        <v>398</v>
      </c>
      <c r="B5" s="2">
        <v>0.1</v>
      </c>
      <c r="C5" s="2">
        <v>0.1</v>
      </c>
      <c r="D5" s="2">
        <v>0.1</v>
      </c>
      <c r="E5" s="2"/>
      <c r="F5" s="2"/>
      <c r="G5" s="2"/>
      <c r="H5" s="2"/>
      <c r="I5" s="2"/>
      <c r="J5" s="2"/>
      <c r="K5" s="2"/>
      <c r="L5" s="2"/>
      <c r="M5" s="2"/>
      <c r="N5" s="2">
        <v>1</v>
      </c>
      <c r="O5" s="2" t="s">
        <v>19</v>
      </c>
      <c r="P5" s="2">
        <v>2000</v>
      </c>
      <c r="Q5" s="2" t="s">
        <v>16</v>
      </c>
      <c r="R5" s="482">
        <v>0</v>
      </c>
      <c r="T5" s="257"/>
    </row>
    <row r="6" spans="1:20">
      <c r="A6" s="2" t="s">
        <v>396</v>
      </c>
      <c r="B6" s="2">
        <v>0.12</v>
      </c>
      <c r="C6" s="2">
        <v>0.24</v>
      </c>
      <c r="D6" s="2">
        <v>0.24</v>
      </c>
      <c r="E6" s="2"/>
      <c r="F6" s="2"/>
      <c r="G6" s="2"/>
      <c r="H6" s="2"/>
      <c r="I6" s="2"/>
      <c r="J6" s="2"/>
      <c r="K6" s="2"/>
      <c r="L6" s="2"/>
      <c r="M6" s="2"/>
      <c r="N6" s="2">
        <v>1</v>
      </c>
      <c r="O6" s="2" t="s">
        <v>19</v>
      </c>
      <c r="P6" s="2">
        <v>2000</v>
      </c>
      <c r="Q6" s="2" t="s">
        <v>16</v>
      </c>
      <c r="R6" s="482">
        <v>0</v>
      </c>
      <c r="T6" s="6"/>
    </row>
    <row r="7" spans="1:20">
      <c r="A7" s="2" t="s">
        <v>395</v>
      </c>
      <c r="B7" s="2">
        <v>0.15</v>
      </c>
      <c r="C7" s="2">
        <v>0.15</v>
      </c>
      <c r="D7" s="2">
        <v>0.15</v>
      </c>
      <c r="E7" s="2"/>
      <c r="F7" s="2"/>
      <c r="G7" s="2"/>
      <c r="H7" s="2"/>
      <c r="I7" s="2"/>
      <c r="J7" s="2"/>
      <c r="K7" s="2"/>
      <c r="L7" s="2"/>
      <c r="M7" s="2"/>
      <c r="N7" s="2">
        <v>1</v>
      </c>
      <c r="O7" s="2" t="s">
        <v>19</v>
      </c>
      <c r="P7" s="2">
        <v>2000</v>
      </c>
      <c r="Q7" s="2" t="s">
        <v>16</v>
      </c>
      <c r="R7" s="482">
        <v>0</v>
      </c>
      <c r="T7" s="6"/>
    </row>
    <row r="8" spans="1:20">
      <c r="A8" s="2" t="s">
        <v>394</v>
      </c>
      <c r="B8" s="2">
        <v>1.738</v>
      </c>
      <c r="C8" s="2">
        <v>1.65</v>
      </c>
      <c r="D8" s="2">
        <v>0.22</v>
      </c>
      <c r="E8" s="2"/>
      <c r="F8" s="2"/>
      <c r="G8" s="2"/>
      <c r="H8" s="2"/>
      <c r="I8" s="2"/>
      <c r="J8" s="2"/>
      <c r="K8" s="2"/>
      <c r="L8" s="2"/>
      <c r="M8" s="2"/>
      <c r="N8" s="2">
        <v>1</v>
      </c>
      <c r="O8" s="2" t="s">
        <v>15</v>
      </c>
      <c r="P8" s="2">
        <v>1</v>
      </c>
      <c r="Q8" s="2" t="s">
        <v>24</v>
      </c>
      <c r="R8" s="482">
        <v>0</v>
      </c>
      <c r="T8" s="6"/>
    </row>
    <row r="9" spans="1:20">
      <c r="A9" s="2" t="s">
        <v>393</v>
      </c>
      <c r="B9" s="2">
        <v>0.19</v>
      </c>
      <c r="C9" s="2">
        <v>0.19</v>
      </c>
      <c r="D9" s="2">
        <v>0.19</v>
      </c>
      <c r="E9" s="2"/>
      <c r="F9" s="2"/>
      <c r="G9" s="2"/>
      <c r="H9" s="2"/>
      <c r="I9" s="2"/>
      <c r="J9" s="2"/>
      <c r="K9" s="2"/>
      <c r="L9" s="2"/>
      <c r="M9" s="2"/>
      <c r="N9" s="2">
        <v>1</v>
      </c>
      <c r="O9" s="2" t="s">
        <v>19</v>
      </c>
      <c r="P9" s="2">
        <v>2000</v>
      </c>
      <c r="Q9" s="2" t="s">
        <v>16</v>
      </c>
      <c r="R9" s="482">
        <v>0</v>
      </c>
      <c r="T9" s="6"/>
    </row>
    <row r="10" spans="1:20">
      <c r="A10" s="2" t="s">
        <v>487</v>
      </c>
      <c r="B10" s="2">
        <v>0.35099999999999998</v>
      </c>
      <c r="C10" s="2">
        <v>2.1059999999999999</v>
      </c>
      <c r="D10" s="2">
        <v>2.1059999999999999</v>
      </c>
      <c r="E10" s="2"/>
      <c r="F10" s="2"/>
      <c r="G10" s="2"/>
      <c r="H10" s="2"/>
      <c r="I10" s="2"/>
      <c r="J10" s="2"/>
      <c r="K10" s="2"/>
      <c r="L10" s="2"/>
      <c r="M10" s="2"/>
      <c r="N10" s="2">
        <v>1</v>
      </c>
      <c r="O10" s="2" t="s">
        <v>15</v>
      </c>
      <c r="P10" s="2">
        <v>1</v>
      </c>
      <c r="Q10" s="2" t="s">
        <v>24</v>
      </c>
      <c r="R10" s="482">
        <v>0</v>
      </c>
      <c r="T10" s="6"/>
    </row>
    <row r="11" spans="1:20">
      <c r="A11" s="2" t="s">
        <v>397</v>
      </c>
      <c r="B11" s="2">
        <v>0.05</v>
      </c>
      <c r="C11" s="2">
        <v>0.1</v>
      </c>
      <c r="D11" s="2">
        <v>0.05</v>
      </c>
      <c r="E11" s="2"/>
      <c r="F11" s="2"/>
      <c r="G11" s="2"/>
      <c r="H11" s="2"/>
      <c r="I11" s="2"/>
      <c r="J11" s="2"/>
      <c r="K11" s="2"/>
      <c r="L11" s="2"/>
      <c r="M11" s="2"/>
      <c r="N11" s="2">
        <v>1</v>
      </c>
      <c r="O11" s="2" t="s">
        <v>19</v>
      </c>
      <c r="P11" s="2">
        <v>2000</v>
      </c>
      <c r="Q11" s="2" t="s">
        <v>16</v>
      </c>
      <c r="R11" s="482">
        <v>0</v>
      </c>
      <c r="T11" s="6"/>
    </row>
    <row r="12" spans="1:20">
      <c r="A12" s="2" t="s">
        <v>399</v>
      </c>
      <c r="B12" s="2">
        <v>0.06</v>
      </c>
      <c r="C12" s="2">
        <v>0.12</v>
      </c>
      <c r="D12" s="2">
        <v>0.12</v>
      </c>
      <c r="E12" s="2"/>
      <c r="F12" s="2"/>
      <c r="G12" s="2"/>
      <c r="H12" s="2"/>
      <c r="I12" s="2"/>
      <c r="J12" s="2"/>
      <c r="K12" s="2"/>
      <c r="L12" s="2"/>
      <c r="M12" s="2"/>
      <c r="N12" s="2">
        <v>1</v>
      </c>
      <c r="O12" s="2" t="s">
        <v>19</v>
      </c>
      <c r="P12" s="2">
        <v>2000</v>
      </c>
      <c r="Q12" s="2" t="s">
        <v>16</v>
      </c>
      <c r="R12" s="482">
        <v>0</v>
      </c>
      <c r="T12" s="6"/>
    </row>
    <row r="13" spans="1:20">
      <c r="A13" s="569" t="s">
        <v>488</v>
      </c>
      <c r="B13" s="2">
        <v>0.66539999999999999</v>
      </c>
      <c r="C13" s="2">
        <v>2.6616</v>
      </c>
      <c r="D13" s="2">
        <v>0.66539999999999999</v>
      </c>
      <c r="E13" s="2"/>
      <c r="F13" s="2"/>
      <c r="G13" s="2"/>
      <c r="H13" s="2"/>
      <c r="I13" s="2"/>
      <c r="J13" s="2"/>
      <c r="K13" s="2"/>
      <c r="L13" s="2"/>
      <c r="M13" s="2"/>
      <c r="N13" s="2">
        <v>1</v>
      </c>
      <c r="O13" s="2" t="s">
        <v>15</v>
      </c>
      <c r="P13" s="2">
        <v>1</v>
      </c>
      <c r="Q13" s="2" t="s">
        <v>24</v>
      </c>
      <c r="R13" s="482">
        <v>0</v>
      </c>
      <c r="T13" s="6"/>
    </row>
    <row r="14" spans="1:20">
      <c r="A14" s="2" t="s">
        <v>392</v>
      </c>
      <c r="B14" s="2">
        <v>0.98730000000000007</v>
      </c>
      <c r="C14" s="2">
        <v>1.9746000000000001</v>
      </c>
      <c r="D14" s="2">
        <v>0.98730000000000007</v>
      </c>
      <c r="E14" s="2"/>
      <c r="F14" s="2"/>
      <c r="G14" s="2"/>
      <c r="H14" s="2"/>
      <c r="I14" s="2"/>
      <c r="J14" s="2"/>
      <c r="K14" s="2"/>
      <c r="L14" s="2"/>
      <c r="M14" s="2"/>
      <c r="N14" s="2">
        <v>1</v>
      </c>
      <c r="O14" s="2" t="s">
        <v>15</v>
      </c>
      <c r="P14" s="2">
        <v>1</v>
      </c>
      <c r="Q14" s="2" t="s">
        <v>24</v>
      </c>
      <c r="R14" s="482">
        <v>0</v>
      </c>
      <c r="T14" s="6"/>
    </row>
    <row r="15" spans="1:20">
      <c r="A15" s="2" t="s">
        <v>635</v>
      </c>
      <c r="B15" s="2">
        <v>0.1</v>
      </c>
      <c r="C15" s="2">
        <v>0.02</v>
      </c>
      <c r="D15" s="2">
        <v>0.04</v>
      </c>
      <c r="E15" s="2"/>
      <c r="F15" s="2"/>
      <c r="G15" s="2"/>
      <c r="H15" s="2"/>
      <c r="I15" s="2"/>
      <c r="J15" s="2"/>
      <c r="K15" s="2"/>
      <c r="L15" s="2"/>
      <c r="M15" s="2"/>
      <c r="N15" s="2">
        <v>1</v>
      </c>
      <c r="O15" s="2" t="s">
        <v>19</v>
      </c>
      <c r="P15" s="2">
        <v>50</v>
      </c>
      <c r="Q15" s="2" t="s">
        <v>29</v>
      </c>
      <c r="R15" s="482">
        <v>0</v>
      </c>
      <c r="T15" s="6"/>
    </row>
    <row r="16" spans="1:20">
      <c r="A16" s="2" t="s">
        <v>17</v>
      </c>
      <c r="B16" s="2">
        <f>N16*0.1</f>
        <v>1.17</v>
      </c>
      <c r="C16" s="2">
        <f>N16*0.34</f>
        <v>3.9780000000000002</v>
      </c>
      <c r="D16" s="2"/>
      <c r="E16" s="2"/>
      <c r="F16" s="2"/>
      <c r="G16" s="2"/>
      <c r="H16" s="2"/>
      <c r="I16" s="2"/>
      <c r="J16" s="2"/>
      <c r="K16" s="2"/>
      <c r="L16" s="2"/>
      <c r="M16" s="2"/>
      <c r="N16" s="2">
        <v>11.7</v>
      </c>
      <c r="O16" s="2" t="s">
        <v>15</v>
      </c>
      <c r="P16" s="2">
        <v>2000</v>
      </c>
      <c r="Q16" s="2" t="s">
        <v>16</v>
      </c>
      <c r="R16" s="482">
        <v>0</v>
      </c>
      <c r="T16" s="6"/>
    </row>
    <row r="17" spans="1:27">
      <c r="A17" s="2" t="s">
        <v>22</v>
      </c>
      <c r="B17" s="2">
        <v>0.21</v>
      </c>
      <c r="C17" s="2"/>
      <c r="D17" s="2"/>
      <c r="E17" s="2">
        <v>0.24</v>
      </c>
      <c r="F17" s="2"/>
      <c r="G17" s="2"/>
      <c r="H17" s="2"/>
      <c r="I17" s="2"/>
      <c r="J17" s="2"/>
      <c r="K17" s="2"/>
      <c r="L17" s="2"/>
      <c r="M17" s="2"/>
      <c r="N17" s="2">
        <v>1</v>
      </c>
      <c r="O17" s="2" t="s">
        <v>19</v>
      </c>
      <c r="P17" s="2">
        <v>2000</v>
      </c>
      <c r="Q17" s="2" t="s">
        <v>16</v>
      </c>
      <c r="R17" s="482">
        <v>0</v>
      </c>
      <c r="T17" s="6"/>
    </row>
    <row r="18" spans="1:27">
      <c r="A18" s="2" t="s">
        <v>26</v>
      </c>
      <c r="B18" s="2">
        <v>0.82</v>
      </c>
      <c r="C18" s="2"/>
      <c r="D18" s="2"/>
      <c r="E18" s="2"/>
      <c r="F18" s="2"/>
      <c r="G18" s="2"/>
      <c r="H18" s="2"/>
      <c r="I18" s="2"/>
      <c r="J18" s="2"/>
      <c r="K18" s="2"/>
      <c r="L18" s="2"/>
      <c r="M18" s="2"/>
      <c r="N18" s="2">
        <v>1</v>
      </c>
      <c r="O18" s="2" t="s">
        <v>19</v>
      </c>
      <c r="P18" s="2">
        <v>2000</v>
      </c>
      <c r="Q18" s="2" t="s">
        <v>16</v>
      </c>
      <c r="R18" s="482">
        <v>0</v>
      </c>
      <c r="T18" s="6"/>
    </row>
    <row r="19" spans="1:27">
      <c r="A19" s="2" t="s">
        <v>636</v>
      </c>
      <c r="B19" s="714">
        <v>0.3</v>
      </c>
      <c r="C19" s="2"/>
      <c r="D19" s="2"/>
      <c r="E19" s="2"/>
      <c r="F19" s="2"/>
      <c r="G19" s="2"/>
      <c r="H19" s="2"/>
      <c r="I19" s="2"/>
      <c r="J19" s="2"/>
      <c r="K19" s="2"/>
      <c r="L19" s="2"/>
      <c r="M19" s="2"/>
      <c r="N19" s="2">
        <v>1</v>
      </c>
      <c r="O19" s="2" t="s">
        <v>19</v>
      </c>
      <c r="P19" s="2">
        <v>50</v>
      </c>
      <c r="Q19" s="2" t="s">
        <v>29</v>
      </c>
      <c r="R19" s="482">
        <v>0</v>
      </c>
      <c r="T19" s="6"/>
    </row>
    <row r="20" spans="1:27">
      <c r="A20" s="2" t="s">
        <v>637</v>
      </c>
      <c r="B20" s="2">
        <v>0.08</v>
      </c>
      <c r="C20" s="2">
        <v>0.42</v>
      </c>
      <c r="D20" s="2"/>
      <c r="E20" s="2"/>
      <c r="F20" s="2"/>
      <c r="G20" s="2"/>
      <c r="H20" s="2"/>
      <c r="I20" s="2"/>
      <c r="J20" s="2"/>
      <c r="K20" s="2"/>
      <c r="L20" s="2"/>
      <c r="M20" s="2"/>
      <c r="N20" s="2">
        <v>1</v>
      </c>
      <c r="O20" s="2" t="s">
        <v>19</v>
      </c>
      <c r="P20" s="2">
        <v>50</v>
      </c>
      <c r="Q20" s="2" t="s">
        <v>29</v>
      </c>
      <c r="R20" s="482">
        <v>0</v>
      </c>
      <c r="T20" s="6"/>
    </row>
    <row r="21" spans="1:27">
      <c r="A21" s="2" t="s">
        <v>638</v>
      </c>
      <c r="B21" s="2">
        <v>0.3</v>
      </c>
      <c r="C21" s="2"/>
      <c r="D21" s="2">
        <v>0.04</v>
      </c>
      <c r="E21" s="2"/>
      <c r="F21" s="2"/>
      <c r="G21" s="2"/>
      <c r="H21" s="2"/>
      <c r="I21" s="2"/>
      <c r="J21" s="2"/>
      <c r="K21" s="2"/>
      <c r="L21" s="2"/>
      <c r="M21" s="2"/>
      <c r="N21" s="2">
        <v>1</v>
      </c>
      <c r="O21" s="2" t="s">
        <v>19</v>
      </c>
      <c r="P21" s="2">
        <v>50</v>
      </c>
      <c r="Q21" s="2" t="s">
        <v>29</v>
      </c>
      <c r="R21" s="482">
        <v>0</v>
      </c>
      <c r="T21" s="6"/>
    </row>
    <row r="22" spans="1:27">
      <c r="A22" s="2" t="s">
        <v>21</v>
      </c>
      <c r="B22" s="2">
        <v>0.18</v>
      </c>
      <c r="C22" s="2">
        <v>0.46</v>
      </c>
      <c r="D22" s="2"/>
      <c r="E22" s="2"/>
      <c r="F22" s="2"/>
      <c r="G22" s="2"/>
      <c r="H22" s="2"/>
      <c r="I22" s="2"/>
      <c r="J22" s="2"/>
      <c r="K22" s="2"/>
      <c r="L22" s="2"/>
      <c r="M22" s="2"/>
      <c r="N22" s="2">
        <v>1</v>
      </c>
      <c r="O22" s="2" t="s">
        <v>19</v>
      </c>
      <c r="P22" s="2">
        <v>2000</v>
      </c>
      <c r="Q22" s="2" t="s">
        <v>16</v>
      </c>
      <c r="R22" s="482">
        <v>0</v>
      </c>
      <c r="T22" s="1023"/>
      <c r="U22" s="1023"/>
      <c r="V22" s="1023"/>
      <c r="W22" s="1023"/>
      <c r="X22" s="1023"/>
      <c r="Y22" s="1023"/>
      <c r="Z22" s="1023"/>
      <c r="AA22" s="1023"/>
    </row>
    <row r="23" spans="1:27">
      <c r="A23" s="2" t="s">
        <v>491</v>
      </c>
      <c r="B23" s="2">
        <v>0.44</v>
      </c>
      <c r="C23" s="2"/>
      <c r="D23" s="2"/>
      <c r="E23" s="2"/>
      <c r="F23" s="2"/>
      <c r="G23" s="2"/>
      <c r="H23" s="2"/>
      <c r="I23" s="2"/>
      <c r="J23" s="2"/>
      <c r="K23" s="2"/>
      <c r="L23" s="2"/>
      <c r="M23" s="2"/>
      <c r="N23" s="2">
        <v>1</v>
      </c>
      <c r="O23" s="2" t="s">
        <v>19</v>
      </c>
      <c r="P23" s="2">
        <v>2000</v>
      </c>
      <c r="Q23" s="2" t="s">
        <v>16</v>
      </c>
      <c r="R23" s="482">
        <v>0</v>
      </c>
    </row>
    <row r="24" spans="1:27">
      <c r="A24" s="2" t="s">
        <v>639</v>
      </c>
      <c r="B24" s="2">
        <v>0.3</v>
      </c>
      <c r="C24" s="2"/>
      <c r="D24" s="2"/>
      <c r="E24" s="2"/>
      <c r="F24" s="2"/>
      <c r="G24" s="2"/>
      <c r="H24" s="2"/>
      <c r="I24" s="2"/>
      <c r="J24" s="2"/>
      <c r="K24" s="2"/>
      <c r="L24" s="2"/>
      <c r="M24" s="2"/>
      <c r="N24" s="2">
        <v>1</v>
      </c>
      <c r="O24" s="2" t="s">
        <v>19</v>
      </c>
      <c r="P24" s="2">
        <v>50</v>
      </c>
      <c r="Q24" s="2" t="s">
        <v>29</v>
      </c>
      <c r="R24" s="482">
        <v>0</v>
      </c>
    </row>
    <row r="25" spans="1:27">
      <c r="A25" s="2" t="s">
        <v>640</v>
      </c>
      <c r="B25" s="2"/>
      <c r="C25" s="2">
        <v>0.03</v>
      </c>
      <c r="D25" s="2">
        <v>0.1</v>
      </c>
      <c r="E25" s="2"/>
      <c r="F25" s="2"/>
      <c r="G25" s="2"/>
      <c r="H25" s="2"/>
      <c r="I25" s="2"/>
      <c r="J25" s="2"/>
      <c r="K25" s="2"/>
      <c r="L25" s="2"/>
      <c r="M25" s="2"/>
      <c r="N25" s="2">
        <v>1</v>
      </c>
      <c r="O25" s="2" t="s">
        <v>19</v>
      </c>
      <c r="P25" s="2">
        <v>50</v>
      </c>
      <c r="Q25" s="2" t="s">
        <v>29</v>
      </c>
      <c r="R25" s="482">
        <v>0</v>
      </c>
    </row>
    <row r="26" spans="1:27">
      <c r="A26" s="2" t="s">
        <v>641</v>
      </c>
      <c r="B26" s="2">
        <v>0.2</v>
      </c>
      <c r="C26" s="2">
        <v>0.06</v>
      </c>
      <c r="D26" s="2">
        <v>0.02</v>
      </c>
      <c r="E26" s="2"/>
      <c r="F26" s="2"/>
      <c r="G26" s="2"/>
      <c r="H26" s="2"/>
      <c r="I26" s="2"/>
      <c r="J26" s="2"/>
      <c r="K26" s="2"/>
      <c r="L26" s="2"/>
      <c r="M26" s="2"/>
      <c r="N26" s="2">
        <v>1</v>
      </c>
      <c r="O26" s="2" t="s">
        <v>19</v>
      </c>
      <c r="P26" s="2">
        <v>50</v>
      </c>
      <c r="Q26" s="2" t="s">
        <v>29</v>
      </c>
      <c r="R26" s="482">
        <v>0</v>
      </c>
    </row>
    <row r="27" spans="1:27">
      <c r="A27" s="2" t="s">
        <v>25</v>
      </c>
      <c r="B27" s="2"/>
      <c r="C27" s="2"/>
      <c r="D27" s="2"/>
      <c r="E27" s="2">
        <v>0.17</v>
      </c>
      <c r="F27" s="2"/>
      <c r="G27" s="2">
        <v>0.21</v>
      </c>
      <c r="H27" s="2"/>
      <c r="I27" s="2"/>
      <c r="J27" s="2"/>
      <c r="K27" s="2"/>
      <c r="L27" s="2"/>
      <c r="M27" s="2"/>
      <c r="N27" s="2">
        <v>1</v>
      </c>
      <c r="O27" s="2" t="s">
        <v>19</v>
      </c>
      <c r="P27" s="2">
        <v>2000</v>
      </c>
      <c r="Q27" s="2" t="s">
        <v>16</v>
      </c>
      <c r="R27" s="482">
        <v>0</v>
      </c>
    </row>
    <row r="28" spans="1:27">
      <c r="A28" s="2" t="s">
        <v>642</v>
      </c>
      <c r="B28" s="2">
        <v>0.32</v>
      </c>
      <c r="C28" s="2"/>
      <c r="D28" s="2"/>
      <c r="E28" s="2"/>
      <c r="F28" s="2"/>
      <c r="G28" s="2"/>
      <c r="H28" s="2"/>
      <c r="I28" s="2"/>
      <c r="J28" s="2"/>
      <c r="K28" s="2"/>
      <c r="L28" s="2"/>
      <c r="M28" s="2"/>
      <c r="N28" s="2">
        <v>1</v>
      </c>
      <c r="O28" s="2" t="s">
        <v>19</v>
      </c>
      <c r="P28" s="2">
        <v>50</v>
      </c>
      <c r="Q28" s="2" t="s">
        <v>29</v>
      </c>
      <c r="R28" s="482">
        <v>0</v>
      </c>
    </row>
    <row r="29" spans="1:27">
      <c r="A29" s="2" t="s">
        <v>643</v>
      </c>
      <c r="B29" s="2"/>
      <c r="C29" s="2"/>
      <c r="D29" s="2">
        <v>0.12</v>
      </c>
      <c r="E29" s="2"/>
      <c r="F29" s="2"/>
      <c r="G29" s="2"/>
      <c r="H29" s="2"/>
      <c r="I29" s="2"/>
      <c r="J29" s="2"/>
      <c r="K29" s="2"/>
      <c r="L29" s="2"/>
      <c r="M29" s="2"/>
      <c r="N29" s="2">
        <v>8.49</v>
      </c>
      <c r="O29" s="2" t="s">
        <v>644</v>
      </c>
      <c r="P29" s="2">
        <v>16</v>
      </c>
      <c r="Q29" s="2" t="s">
        <v>24</v>
      </c>
      <c r="R29" s="482">
        <v>0</v>
      </c>
    </row>
    <row r="30" spans="1:27">
      <c r="A30" s="2" t="s">
        <v>645</v>
      </c>
      <c r="B30" s="2">
        <v>0.04</v>
      </c>
      <c r="C30" s="2">
        <v>0.02</v>
      </c>
      <c r="D30" s="2">
        <v>0.12</v>
      </c>
      <c r="E30" s="2"/>
      <c r="F30" s="2"/>
      <c r="G30" s="2"/>
      <c r="H30" s="2"/>
      <c r="I30" s="2"/>
      <c r="J30" s="2"/>
      <c r="K30" s="2"/>
      <c r="L30" s="2"/>
      <c r="M30" s="2"/>
      <c r="N30" s="2">
        <v>1</v>
      </c>
      <c r="O30" s="2" t="s">
        <v>19</v>
      </c>
      <c r="P30" s="2">
        <v>50</v>
      </c>
      <c r="Q30" s="2" t="s">
        <v>29</v>
      </c>
      <c r="R30" s="482">
        <v>0</v>
      </c>
    </row>
    <row r="31" spans="1:27">
      <c r="A31" s="2" t="s">
        <v>23</v>
      </c>
      <c r="B31" s="2"/>
      <c r="C31" s="2"/>
      <c r="D31" s="2">
        <v>0.22</v>
      </c>
      <c r="E31" s="2">
        <v>0.21</v>
      </c>
      <c r="F31" s="2">
        <v>0.11</v>
      </c>
      <c r="G31" s="2"/>
      <c r="H31" s="2"/>
      <c r="I31" s="2"/>
      <c r="J31" s="2"/>
      <c r="K31" s="2"/>
      <c r="L31" s="2"/>
      <c r="M31" s="2"/>
      <c r="N31" s="2">
        <v>1</v>
      </c>
      <c r="O31" s="2" t="s">
        <v>19</v>
      </c>
      <c r="P31" s="2">
        <v>2000</v>
      </c>
      <c r="Q31" s="2" t="s">
        <v>24</v>
      </c>
      <c r="R31" s="482">
        <v>0</v>
      </c>
    </row>
    <row r="32" spans="1:27">
      <c r="A32" s="2" t="s">
        <v>125</v>
      </c>
      <c r="B32" s="2">
        <v>0.11</v>
      </c>
      <c r="C32" s="2">
        <v>0.52</v>
      </c>
      <c r="D32" s="2"/>
      <c r="E32" s="2"/>
      <c r="F32" s="2"/>
      <c r="G32" s="2"/>
      <c r="H32" s="2"/>
      <c r="I32" s="2"/>
      <c r="J32" s="2"/>
      <c r="K32" s="2"/>
      <c r="L32" s="2"/>
      <c r="M32" s="2"/>
      <c r="N32" s="2">
        <v>1</v>
      </c>
      <c r="O32" s="2" t="s">
        <v>19</v>
      </c>
      <c r="P32" s="2">
        <v>2000</v>
      </c>
      <c r="Q32" s="2" t="s">
        <v>16</v>
      </c>
      <c r="R32" s="482">
        <v>0</v>
      </c>
    </row>
    <row r="33" spans="1:26">
      <c r="A33" s="2" t="s">
        <v>388</v>
      </c>
      <c r="B33" s="2">
        <v>0.12</v>
      </c>
      <c r="C33" s="2">
        <v>0.4</v>
      </c>
      <c r="D33" s="2"/>
      <c r="E33" s="2">
        <v>0.1</v>
      </c>
      <c r="F33" s="2"/>
      <c r="G33" s="2"/>
      <c r="H33" s="2">
        <v>0.01</v>
      </c>
      <c r="I33" s="2"/>
      <c r="J33" s="2"/>
      <c r="K33" s="2"/>
      <c r="L33" s="2"/>
      <c r="M33" s="2"/>
      <c r="N33" s="2">
        <v>1</v>
      </c>
      <c r="O33" s="2" t="s">
        <v>19</v>
      </c>
      <c r="P33" s="2">
        <v>2000</v>
      </c>
      <c r="Q33" s="2" t="s">
        <v>16</v>
      </c>
      <c r="R33" s="482">
        <v>0</v>
      </c>
    </row>
    <row r="34" spans="1:26">
      <c r="A34" s="2" t="s">
        <v>499</v>
      </c>
      <c r="B34" s="2"/>
      <c r="C34" s="2"/>
      <c r="D34" s="2">
        <v>0.6</v>
      </c>
      <c r="E34" s="2"/>
      <c r="F34" s="2"/>
      <c r="G34" s="2"/>
      <c r="H34" s="2"/>
      <c r="I34" s="2"/>
      <c r="J34" s="2"/>
      <c r="K34" s="2"/>
      <c r="L34" s="2"/>
      <c r="M34" s="2"/>
      <c r="N34" s="2">
        <v>1</v>
      </c>
      <c r="O34" s="2" t="s">
        <v>19</v>
      </c>
      <c r="P34" s="2">
        <v>2000</v>
      </c>
      <c r="Q34" s="2" t="s">
        <v>16</v>
      </c>
      <c r="R34" s="482">
        <v>0</v>
      </c>
    </row>
    <row r="35" spans="1:26">
      <c r="A35" s="569" t="s">
        <v>490</v>
      </c>
      <c r="B35" s="2"/>
      <c r="C35" s="2"/>
      <c r="D35" s="2">
        <v>0.24</v>
      </c>
      <c r="E35" s="2"/>
      <c r="F35" s="2"/>
      <c r="G35" s="2"/>
      <c r="H35" s="2"/>
      <c r="I35" s="2"/>
      <c r="J35" s="2"/>
      <c r="K35" s="2"/>
      <c r="L35" s="2"/>
      <c r="M35" s="2"/>
      <c r="N35" s="2">
        <v>10.65</v>
      </c>
      <c r="O35" s="2" t="s">
        <v>15</v>
      </c>
      <c r="P35" s="2">
        <v>2000</v>
      </c>
      <c r="Q35" s="2" t="s">
        <v>24</v>
      </c>
      <c r="R35" s="482">
        <v>0</v>
      </c>
    </row>
    <row r="36" spans="1:26">
      <c r="A36" s="2" t="s">
        <v>391</v>
      </c>
      <c r="B36" s="2"/>
      <c r="C36" s="2"/>
      <c r="D36" s="2">
        <v>0.52</v>
      </c>
      <c r="E36" s="2">
        <v>0.18</v>
      </c>
      <c r="F36" s="2"/>
      <c r="G36" s="2"/>
      <c r="H36" s="2"/>
      <c r="I36" s="2"/>
      <c r="J36" s="2"/>
      <c r="K36" s="2"/>
      <c r="L36" s="2"/>
      <c r="M36" s="2"/>
      <c r="N36" s="2">
        <v>1</v>
      </c>
      <c r="O36" s="2" t="s">
        <v>19</v>
      </c>
      <c r="P36" s="2">
        <v>2000</v>
      </c>
      <c r="Q36" s="2" t="s">
        <v>16</v>
      </c>
      <c r="R36" s="482">
        <v>0</v>
      </c>
    </row>
    <row r="37" spans="1:26">
      <c r="A37" s="2" t="s">
        <v>646</v>
      </c>
      <c r="B37" s="2">
        <v>0.1</v>
      </c>
      <c r="C37" s="2">
        <v>0.08</v>
      </c>
      <c r="D37" s="2">
        <v>0.1</v>
      </c>
      <c r="E37" s="2"/>
      <c r="F37" s="2">
        <v>0.02</v>
      </c>
      <c r="G37" s="2"/>
      <c r="H37" s="2"/>
      <c r="I37" s="2"/>
      <c r="J37" s="2"/>
      <c r="K37" s="2"/>
      <c r="L37" s="2"/>
      <c r="M37" s="2"/>
      <c r="N37" s="2">
        <v>1</v>
      </c>
      <c r="O37" s="2" t="s">
        <v>19</v>
      </c>
      <c r="P37" s="2">
        <v>50</v>
      </c>
      <c r="Q37" s="2" t="s">
        <v>29</v>
      </c>
      <c r="R37" s="482">
        <v>0</v>
      </c>
    </row>
    <row r="38" spans="1:26">
      <c r="A38" s="2" t="s">
        <v>647</v>
      </c>
      <c r="B38" s="2"/>
      <c r="C38" s="2">
        <v>0.06</v>
      </c>
      <c r="D38" s="2"/>
      <c r="E38" s="2"/>
      <c r="F38" s="2"/>
      <c r="G38" s="2"/>
      <c r="H38" s="2"/>
      <c r="I38" s="2"/>
      <c r="J38" s="2"/>
      <c r="K38" s="2"/>
      <c r="L38" s="2"/>
      <c r="M38" s="2"/>
      <c r="N38" s="2">
        <v>1</v>
      </c>
      <c r="O38" s="2" t="s">
        <v>19</v>
      </c>
      <c r="P38" s="2">
        <v>50</v>
      </c>
      <c r="Q38" s="2" t="s">
        <v>29</v>
      </c>
      <c r="R38" s="482">
        <v>0</v>
      </c>
      <c r="U38" s="118" t="s">
        <v>533</v>
      </c>
    </row>
    <row r="39" spans="1:26">
      <c r="A39" s="2" t="s">
        <v>649</v>
      </c>
      <c r="B39" s="2">
        <v>0.2</v>
      </c>
      <c r="C39" s="2"/>
      <c r="D39" s="2">
        <v>0.08</v>
      </c>
      <c r="E39" s="2">
        <v>0.01</v>
      </c>
      <c r="F39" s="2"/>
      <c r="G39" s="2"/>
      <c r="H39" s="2"/>
      <c r="I39" s="2"/>
      <c r="J39" s="2"/>
      <c r="K39" s="2"/>
      <c r="L39" s="2"/>
      <c r="M39" s="2"/>
      <c r="N39" s="2">
        <v>1</v>
      </c>
      <c r="O39" s="2" t="s">
        <v>19</v>
      </c>
      <c r="P39" s="2">
        <v>50</v>
      </c>
      <c r="Q39" s="2" t="s">
        <v>29</v>
      </c>
      <c r="R39" s="482">
        <v>0</v>
      </c>
      <c r="U39" s="685" t="s">
        <v>531</v>
      </c>
    </row>
    <row r="40" spans="1:26">
      <c r="A40" s="2" t="s">
        <v>648</v>
      </c>
      <c r="B40" s="2">
        <v>0.02</v>
      </c>
      <c r="C40" s="2"/>
      <c r="D40" s="2"/>
      <c r="E40" s="2"/>
      <c r="F40" s="2"/>
      <c r="G40" s="2"/>
      <c r="H40" s="2"/>
      <c r="I40" s="2"/>
      <c r="J40" s="2"/>
      <c r="K40" s="2"/>
      <c r="L40" s="2"/>
      <c r="M40" s="2"/>
      <c r="N40" s="2">
        <v>10.5</v>
      </c>
      <c r="O40" s="2" t="s">
        <v>15</v>
      </c>
      <c r="P40" s="2">
        <v>1</v>
      </c>
      <c r="Q40" s="2" t="s">
        <v>24</v>
      </c>
      <c r="R40" s="482">
        <v>0</v>
      </c>
      <c r="U40" s="685" t="s">
        <v>530</v>
      </c>
      <c r="W40" s="659" t="s">
        <v>529</v>
      </c>
    </row>
    <row r="41" spans="1:26">
      <c r="A41" s="2" t="s">
        <v>567</v>
      </c>
      <c r="B41" s="2">
        <v>0.46</v>
      </c>
      <c r="C41" s="2"/>
      <c r="D41" s="2"/>
      <c r="E41" s="2"/>
      <c r="F41" s="2"/>
      <c r="G41" s="2"/>
      <c r="H41" s="2"/>
      <c r="I41" s="2"/>
      <c r="J41" s="2"/>
      <c r="K41" s="2"/>
      <c r="L41" s="2"/>
      <c r="M41" s="2"/>
      <c r="N41" s="2">
        <v>1</v>
      </c>
      <c r="O41" s="2" t="s">
        <v>19</v>
      </c>
      <c r="P41" s="2">
        <v>2000</v>
      </c>
      <c r="Q41" s="2" t="s">
        <v>16</v>
      </c>
      <c r="R41" s="482">
        <v>0</v>
      </c>
    </row>
    <row r="42" spans="1:26">
      <c r="A42" s="2" t="s">
        <v>20</v>
      </c>
      <c r="B42" s="2">
        <f>N42*0.12</f>
        <v>1.3247999999999998</v>
      </c>
      <c r="C42" s="2"/>
      <c r="D42" s="2"/>
      <c r="E42" s="2">
        <f>N42*0.26</f>
        <v>2.8704000000000001</v>
      </c>
      <c r="F42" s="2"/>
      <c r="G42" s="2"/>
      <c r="H42" s="2"/>
      <c r="I42" s="2"/>
      <c r="J42" s="2"/>
      <c r="K42" s="2"/>
      <c r="L42" s="2"/>
      <c r="M42" s="2"/>
      <c r="N42" s="2">
        <v>11.04</v>
      </c>
      <c r="O42" s="2" t="s">
        <v>15</v>
      </c>
      <c r="P42" s="2">
        <v>2000</v>
      </c>
      <c r="Q42" s="2" t="s">
        <v>16</v>
      </c>
      <c r="R42" s="482">
        <v>0</v>
      </c>
      <c r="U42" s="686" t="s">
        <v>528</v>
      </c>
      <c r="V42"/>
      <c r="W42"/>
      <c r="X42"/>
      <c r="Y42"/>
      <c r="Z42"/>
    </row>
    <row r="43" spans="1:26" ht="15.6" customHeight="1">
      <c r="A43" s="2" t="s">
        <v>390</v>
      </c>
      <c r="B43" s="2"/>
      <c r="C43" s="2">
        <v>0.46</v>
      </c>
      <c r="D43" s="2"/>
      <c r="E43" s="2"/>
      <c r="F43" s="2"/>
      <c r="G43" s="2"/>
      <c r="H43" s="2"/>
      <c r="I43" s="2"/>
      <c r="J43" s="2"/>
      <c r="K43" s="2"/>
      <c r="L43" s="2"/>
      <c r="M43" s="2"/>
      <c r="N43" s="2">
        <v>1</v>
      </c>
      <c r="O43" s="2" t="s">
        <v>19</v>
      </c>
      <c r="P43" s="2">
        <v>2000</v>
      </c>
      <c r="Q43" s="2" t="s">
        <v>16</v>
      </c>
      <c r="R43" s="482">
        <v>0</v>
      </c>
      <c r="U43" s="1019" t="s">
        <v>527</v>
      </c>
      <c r="V43" s="1019"/>
      <c r="W43" s="1019"/>
      <c r="X43" s="1019"/>
      <c r="Y43" s="1019"/>
      <c r="Z43" s="687"/>
    </row>
    <row r="44" spans="1:26">
      <c r="A44" s="2" t="s">
        <v>14</v>
      </c>
      <c r="B44" s="2">
        <f>N44*0.28</f>
        <v>2.9876000000000005</v>
      </c>
      <c r="C44" s="2"/>
      <c r="D44" s="2"/>
      <c r="E44" s="2"/>
      <c r="F44" s="2"/>
      <c r="G44" s="2"/>
      <c r="H44" s="2"/>
      <c r="I44" s="2"/>
      <c r="J44" s="2"/>
      <c r="K44" s="2"/>
      <c r="L44" s="2"/>
      <c r="M44" s="2"/>
      <c r="N44" s="2">
        <v>10.67</v>
      </c>
      <c r="O44" s="2" t="s">
        <v>15</v>
      </c>
      <c r="P44" s="2">
        <v>2000</v>
      </c>
      <c r="Q44" s="2" t="s">
        <v>16</v>
      </c>
      <c r="R44" s="482">
        <v>0</v>
      </c>
      <c r="U44" s="1019"/>
      <c r="V44" s="1019"/>
      <c r="W44" s="1019"/>
      <c r="X44" s="1019"/>
      <c r="Y44" s="1019"/>
      <c r="Z44" s="687"/>
    </row>
    <row r="45" spans="1:26">
      <c r="A45" s="2" t="s">
        <v>426</v>
      </c>
      <c r="B45" s="2">
        <f>N45*0.32</f>
        <v>3.5392000000000001</v>
      </c>
      <c r="C45" s="2"/>
      <c r="D45" s="2"/>
      <c r="E45" s="2"/>
      <c r="F45" s="2"/>
      <c r="G45" s="2"/>
      <c r="H45" s="2"/>
      <c r="I45" s="2"/>
      <c r="J45" s="2"/>
      <c r="K45" s="2"/>
      <c r="L45" s="2"/>
      <c r="M45" s="2"/>
      <c r="N45" s="2">
        <v>11.06</v>
      </c>
      <c r="O45" s="2" t="s">
        <v>15</v>
      </c>
      <c r="P45" s="2">
        <v>2000</v>
      </c>
      <c r="Q45" s="2" t="s">
        <v>16</v>
      </c>
      <c r="R45" s="482">
        <v>0</v>
      </c>
    </row>
    <row r="46" spans="1:26" ht="16.5" thickBot="1">
      <c r="A46" s="2" t="s">
        <v>18</v>
      </c>
      <c r="B46" s="2">
        <f>0.46</f>
        <v>0.46</v>
      </c>
      <c r="C46" s="2"/>
      <c r="D46" s="2"/>
      <c r="E46" s="2"/>
      <c r="F46" s="2"/>
      <c r="G46" s="2"/>
      <c r="H46" s="2"/>
      <c r="I46" s="2"/>
      <c r="J46" s="2"/>
      <c r="K46" s="2"/>
      <c r="L46" s="2"/>
      <c r="M46" s="2"/>
      <c r="N46" s="2">
        <v>1</v>
      </c>
      <c r="O46" s="2" t="s">
        <v>19</v>
      </c>
      <c r="P46" s="2">
        <v>2000</v>
      </c>
      <c r="Q46" s="2" t="s">
        <v>16</v>
      </c>
      <c r="R46" s="482">
        <v>0</v>
      </c>
      <c r="U46" s="1020" t="s">
        <v>562</v>
      </c>
      <c r="V46" s="1020"/>
      <c r="W46" s="1020"/>
      <c r="X46" s="1020"/>
      <c r="Y46" s="1020"/>
    </row>
    <row r="47" spans="1:26">
      <c r="A47" s="2" t="s">
        <v>650</v>
      </c>
      <c r="B47" s="2">
        <v>0.01</v>
      </c>
      <c r="C47" s="2">
        <v>0.01</v>
      </c>
      <c r="D47" s="2">
        <v>6.0000000000000001E-3</v>
      </c>
      <c r="E47" s="2"/>
      <c r="F47" s="2"/>
      <c r="G47" s="2"/>
      <c r="H47" s="2"/>
      <c r="I47" s="2"/>
      <c r="J47" s="2"/>
      <c r="K47" s="2"/>
      <c r="L47" s="2"/>
      <c r="M47" s="2"/>
      <c r="N47" s="2">
        <v>1</v>
      </c>
      <c r="O47" s="2" t="s">
        <v>19</v>
      </c>
      <c r="P47" s="2">
        <v>50</v>
      </c>
      <c r="Q47" s="2" t="s">
        <v>29</v>
      </c>
      <c r="R47" s="482">
        <v>0</v>
      </c>
      <c r="U47" s="51" t="s">
        <v>563</v>
      </c>
      <c r="Y47" s="16" t="s">
        <v>564</v>
      </c>
    </row>
    <row r="48" spans="1:26">
      <c r="A48" s="2" t="s">
        <v>555</v>
      </c>
      <c r="B48" s="680">
        <f>U50</f>
        <v>42</v>
      </c>
      <c r="C48" s="680">
        <f>V50</f>
        <v>75</v>
      </c>
      <c r="D48" s="680">
        <f>W50</f>
        <v>57</v>
      </c>
      <c r="E48" s="680">
        <f>X50</f>
        <v>8</v>
      </c>
      <c r="F48" s="2"/>
      <c r="G48" s="2"/>
      <c r="H48" s="2"/>
      <c r="I48" s="2"/>
      <c r="J48" s="2"/>
      <c r="K48" s="2"/>
      <c r="L48" s="2"/>
      <c r="M48" s="2"/>
      <c r="N48" s="2">
        <v>2000</v>
      </c>
      <c r="O48" s="2" t="s">
        <v>16</v>
      </c>
      <c r="P48" s="2">
        <v>2000</v>
      </c>
      <c r="Q48" s="2" t="s">
        <v>16</v>
      </c>
      <c r="R48" s="482">
        <v>0</v>
      </c>
      <c r="S48" s="681" t="s">
        <v>556</v>
      </c>
      <c r="U48" s="16" t="s">
        <v>96</v>
      </c>
      <c r="V48" s="16" t="s">
        <v>97</v>
      </c>
      <c r="W48" s="16" t="s">
        <v>98</v>
      </c>
      <c r="X48" s="16" t="s">
        <v>99</v>
      </c>
      <c r="Y48" s="682"/>
    </row>
    <row r="49" spans="1:25" ht="15.75" customHeight="1">
      <c r="A49" s="2" t="s">
        <v>557</v>
      </c>
      <c r="B49" s="680">
        <f>U55</f>
        <v>43</v>
      </c>
      <c r="C49" s="680">
        <f>V55</f>
        <v>17</v>
      </c>
      <c r="D49" s="680">
        <f>W55</f>
        <v>38</v>
      </c>
      <c r="E49" s="680">
        <f>X55</f>
        <v>10</v>
      </c>
      <c r="F49" s="2"/>
      <c r="G49" s="2"/>
      <c r="H49" s="2"/>
      <c r="I49" s="2"/>
      <c r="J49" s="2"/>
      <c r="K49" s="2"/>
      <c r="L49" s="2"/>
      <c r="M49" s="2"/>
      <c r="N49" s="2">
        <v>1</v>
      </c>
      <c r="O49" s="2" t="s">
        <v>558</v>
      </c>
      <c r="P49" s="2">
        <v>1</v>
      </c>
      <c r="Q49" s="2" t="s">
        <v>24</v>
      </c>
      <c r="R49" s="482">
        <v>0</v>
      </c>
      <c r="S49" s="681" t="s">
        <v>556</v>
      </c>
      <c r="U49" s="568">
        <v>42</v>
      </c>
      <c r="V49" s="568">
        <v>75</v>
      </c>
      <c r="W49" s="568">
        <v>57</v>
      </c>
      <c r="X49" s="568">
        <v>8</v>
      </c>
      <c r="Y49" s="683" t="s">
        <v>523</v>
      </c>
    </row>
    <row r="50" spans="1:25">
      <c r="A50" s="2" t="s">
        <v>560</v>
      </c>
      <c r="B50" s="568">
        <v>0</v>
      </c>
      <c r="C50" s="568">
        <v>0</v>
      </c>
      <c r="D50" s="568">
        <v>0</v>
      </c>
      <c r="E50" s="568">
        <v>0</v>
      </c>
      <c r="F50" s="568">
        <v>0</v>
      </c>
      <c r="G50" s="568">
        <v>0</v>
      </c>
      <c r="H50" s="568">
        <v>0</v>
      </c>
      <c r="I50" s="568">
        <v>0</v>
      </c>
      <c r="J50" s="568">
        <v>0</v>
      </c>
      <c r="K50" s="568">
        <v>0</v>
      </c>
      <c r="L50" s="568">
        <v>0</v>
      </c>
      <c r="M50" s="568">
        <v>0</v>
      </c>
      <c r="N50" s="568">
        <v>0</v>
      </c>
      <c r="O50" s="567" t="s">
        <v>483</v>
      </c>
      <c r="P50" s="568">
        <v>0</v>
      </c>
      <c r="Q50" s="567" t="s">
        <v>483</v>
      </c>
      <c r="R50" s="482">
        <v>0</v>
      </c>
      <c r="U50" s="684">
        <f>'Manure and Nutrient Credits'!E38</f>
        <v>42</v>
      </c>
      <c r="V50" s="684">
        <f>'Manure and Nutrient Credits'!F38</f>
        <v>75</v>
      </c>
      <c r="W50" s="684">
        <f>'Manure and Nutrient Credits'!G38</f>
        <v>57</v>
      </c>
      <c r="X50" s="684">
        <f>'Manure and Nutrient Credits'!H38</f>
        <v>8</v>
      </c>
      <c r="Y50" s="51" t="s">
        <v>561</v>
      </c>
    </row>
    <row r="51" spans="1:25">
      <c r="A51" s="567" t="s">
        <v>483</v>
      </c>
      <c r="B51" s="568">
        <v>0</v>
      </c>
      <c r="C51" s="568">
        <v>0</v>
      </c>
      <c r="D51" s="568">
        <v>0</v>
      </c>
      <c r="E51" s="568">
        <v>0</v>
      </c>
      <c r="F51" s="568">
        <v>0</v>
      </c>
      <c r="G51" s="568">
        <v>0</v>
      </c>
      <c r="H51" s="568">
        <v>0</v>
      </c>
      <c r="I51" s="568">
        <v>0</v>
      </c>
      <c r="J51" s="568">
        <v>0</v>
      </c>
      <c r="K51" s="568">
        <v>0</v>
      </c>
      <c r="L51" s="568">
        <v>0</v>
      </c>
      <c r="M51" s="568">
        <v>0</v>
      </c>
      <c r="N51" s="568">
        <v>0</v>
      </c>
      <c r="O51" s="567" t="s">
        <v>483</v>
      </c>
      <c r="P51" s="568">
        <v>0</v>
      </c>
      <c r="Q51" s="567" t="s">
        <v>483</v>
      </c>
      <c r="R51" s="482">
        <v>0</v>
      </c>
    </row>
    <row r="52" spans="1:25">
      <c r="A52" s="567" t="s">
        <v>483</v>
      </c>
      <c r="B52" s="568">
        <v>0</v>
      </c>
      <c r="C52" s="568">
        <v>0</v>
      </c>
      <c r="D52" s="568">
        <v>0</v>
      </c>
      <c r="E52" s="568">
        <v>0</v>
      </c>
      <c r="F52" s="568">
        <v>0</v>
      </c>
      <c r="G52" s="568">
        <v>0</v>
      </c>
      <c r="H52" s="568">
        <v>0</v>
      </c>
      <c r="I52" s="568">
        <v>0</v>
      </c>
      <c r="J52" s="568">
        <v>0</v>
      </c>
      <c r="K52" s="568">
        <v>0</v>
      </c>
      <c r="L52" s="568">
        <v>0</v>
      </c>
      <c r="M52" s="568">
        <v>0</v>
      </c>
      <c r="N52" s="568">
        <v>0</v>
      </c>
      <c r="O52" s="567" t="s">
        <v>483</v>
      </c>
      <c r="P52" s="568">
        <v>0</v>
      </c>
      <c r="Q52" s="567" t="s">
        <v>483</v>
      </c>
      <c r="R52" s="482">
        <v>0</v>
      </c>
      <c r="U52" s="51" t="s">
        <v>565</v>
      </c>
      <c r="Y52" s="16" t="s">
        <v>564</v>
      </c>
    </row>
    <row r="53" spans="1:25">
      <c r="A53" s="567" t="s">
        <v>483</v>
      </c>
      <c r="B53" s="568">
        <v>0</v>
      </c>
      <c r="C53" s="568">
        <v>0</v>
      </c>
      <c r="D53" s="568">
        <v>0</v>
      </c>
      <c r="E53" s="568">
        <v>0</v>
      </c>
      <c r="F53" s="568">
        <v>0</v>
      </c>
      <c r="G53" s="568">
        <v>0</v>
      </c>
      <c r="H53" s="568">
        <v>0</v>
      </c>
      <c r="I53" s="568">
        <v>0</v>
      </c>
      <c r="J53" s="568">
        <v>0</v>
      </c>
      <c r="K53" s="568">
        <v>0</v>
      </c>
      <c r="L53" s="568">
        <v>0</v>
      </c>
      <c r="M53" s="568">
        <v>0</v>
      </c>
      <c r="N53" s="568">
        <v>0</v>
      </c>
      <c r="O53" s="567" t="s">
        <v>483</v>
      </c>
      <c r="P53" s="568">
        <v>0</v>
      </c>
      <c r="Q53" s="567" t="s">
        <v>483</v>
      </c>
      <c r="R53" s="482">
        <v>0</v>
      </c>
      <c r="U53" s="16" t="s">
        <v>96</v>
      </c>
      <c r="V53" s="16" t="s">
        <v>97</v>
      </c>
      <c r="W53" s="16" t="s">
        <v>98</v>
      </c>
      <c r="X53" s="16" t="s">
        <v>99</v>
      </c>
      <c r="Y53" s="682"/>
    </row>
    <row r="54" spans="1:25">
      <c r="A54" s="567" t="s">
        <v>483</v>
      </c>
      <c r="B54" s="568">
        <v>0</v>
      </c>
      <c r="C54" s="568">
        <v>0</v>
      </c>
      <c r="D54" s="568">
        <v>0</v>
      </c>
      <c r="E54" s="568">
        <v>0</v>
      </c>
      <c r="F54" s="568">
        <v>0</v>
      </c>
      <c r="G54" s="568">
        <v>0</v>
      </c>
      <c r="H54" s="568">
        <v>0</v>
      </c>
      <c r="I54" s="568">
        <v>0</v>
      </c>
      <c r="J54" s="568">
        <v>0</v>
      </c>
      <c r="K54" s="568">
        <v>0</v>
      </c>
      <c r="L54" s="568">
        <v>0</v>
      </c>
      <c r="M54" s="568">
        <v>0</v>
      </c>
      <c r="N54" s="568">
        <v>0</v>
      </c>
      <c r="O54" s="567" t="s">
        <v>483</v>
      </c>
      <c r="P54" s="568">
        <v>0</v>
      </c>
      <c r="Q54" s="567" t="s">
        <v>483</v>
      </c>
      <c r="R54" s="482">
        <v>0</v>
      </c>
      <c r="U54" s="568">
        <v>43</v>
      </c>
      <c r="V54" s="568">
        <v>17</v>
      </c>
      <c r="W54" s="568">
        <v>38</v>
      </c>
      <c r="X54" s="568">
        <v>10</v>
      </c>
      <c r="Y54" s="683" t="s">
        <v>523</v>
      </c>
    </row>
    <row r="55" spans="1:25">
      <c r="A55" s="2"/>
      <c r="B55" s="2"/>
      <c r="C55" s="2"/>
      <c r="D55" s="2"/>
      <c r="E55" s="2"/>
      <c r="F55" s="2"/>
      <c r="G55" s="2"/>
      <c r="H55" s="2"/>
      <c r="I55" s="2"/>
      <c r="J55" s="2"/>
      <c r="K55" s="2"/>
      <c r="L55" s="2"/>
      <c r="M55" s="2"/>
      <c r="N55" s="2"/>
      <c r="O55" s="2"/>
      <c r="P55" s="2"/>
      <c r="Q55" s="2"/>
      <c r="R55" s="483"/>
      <c r="U55" s="684">
        <f>'Manure and Nutrient Credits'!E41</f>
        <v>43</v>
      </c>
      <c r="V55" s="684">
        <f>'Manure and Nutrient Credits'!F41</f>
        <v>17</v>
      </c>
      <c r="W55" s="684">
        <f>'Manure and Nutrient Credits'!G41</f>
        <v>38</v>
      </c>
      <c r="X55" s="684">
        <f>'Manure and Nutrient Credits'!H41</f>
        <v>10</v>
      </c>
      <c r="Y55" s="51" t="s">
        <v>561</v>
      </c>
    </row>
    <row r="56" spans="1:25">
      <c r="A56" s="2"/>
      <c r="B56" s="2"/>
      <c r="C56" s="2"/>
      <c r="D56" s="2"/>
      <c r="E56" s="2"/>
      <c r="F56" s="2"/>
      <c r="G56" s="2"/>
      <c r="H56" s="2"/>
      <c r="I56" s="2"/>
      <c r="J56" s="2"/>
      <c r="K56" s="2"/>
      <c r="L56" s="2"/>
      <c r="M56" s="2"/>
      <c r="N56" s="2"/>
      <c r="O56" s="2"/>
      <c r="P56" s="2"/>
      <c r="Q56" s="2"/>
      <c r="R56" s="483"/>
    </row>
    <row r="57" spans="1:25">
      <c r="A57" s="577" t="s">
        <v>27</v>
      </c>
      <c r="B57" s="48" t="s">
        <v>2</v>
      </c>
      <c r="C57" s="48" t="s">
        <v>3</v>
      </c>
      <c r="D57" s="48" t="s">
        <v>4</v>
      </c>
      <c r="E57" s="48" t="s">
        <v>5</v>
      </c>
      <c r="F57" s="48" t="s">
        <v>6</v>
      </c>
      <c r="G57" s="48" t="s">
        <v>7</v>
      </c>
      <c r="H57" s="48" t="s">
        <v>8</v>
      </c>
      <c r="I57" s="48" t="s">
        <v>9</v>
      </c>
      <c r="J57" s="48" t="s">
        <v>486</v>
      </c>
      <c r="K57" s="48" t="s">
        <v>849</v>
      </c>
      <c r="L57" s="48" t="s">
        <v>883</v>
      </c>
      <c r="M57" s="48" t="s">
        <v>884</v>
      </c>
      <c r="N57" s="2" t="s">
        <v>10</v>
      </c>
      <c r="O57" s="2" t="s">
        <v>885</v>
      </c>
      <c r="P57" s="2" t="s">
        <v>12</v>
      </c>
      <c r="Q57" s="2" t="s">
        <v>106</v>
      </c>
      <c r="R57" s="481" t="s">
        <v>128</v>
      </c>
    </row>
    <row r="58" spans="1:25" ht="15.6" hidden="1" customHeight="1">
      <c r="A58" s="2" t="s">
        <v>13</v>
      </c>
      <c r="B58" s="2"/>
      <c r="C58" s="2"/>
      <c r="D58" s="2"/>
      <c r="E58" s="2"/>
      <c r="F58" s="2"/>
      <c r="G58" s="2"/>
      <c r="H58" s="2"/>
      <c r="I58" s="2"/>
      <c r="J58" s="2"/>
      <c r="K58" s="2"/>
      <c r="L58" s="2"/>
      <c r="M58" s="2"/>
      <c r="N58" s="2"/>
      <c r="O58" s="2"/>
      <c r="P58" s="2">
        <v>1</v>
      </c>
      <c r="Q58" s="2" t="s">
        <v>13</v>
      </c>
      <c r="R58" s="483">
        <v>0</v>
      </c>
      <c r="U58" s="1021" t="s">
        <v>566</v>
      </c>
      <c r="V58" s="1021"/>
      <c r="W58" s="1021"/>
      <c r="X58" s="1021"/>
      <c r="Y58" s="1021"/>
    </row>
    <row r="59" spans="1:25">
      <c r="A59" s="2" t="s">
        <v>28</v>
      </c>
      <c r="B59" s="2"/>
      <c r="C59" s="2"/>
      <c r="D59" s="2"/>
      <c r="E59" s="2"/>
      <c r="F59" s="2"/>
      <c r="G59" s="2"/>
      <c r="H59" s="2"/>
      <c r="I59" s="2">
        <v>0.14299999999999999</v>
      </c>
      <c r="J59" s="2"/>
      <c r="K59" s="2"/>
      <c r="L59" s="2"/>
      <c r="M59" s="2"/>
      <c r="N59" s="2">
        <v>1</v>
      </c>
      <c r="O59" s="2" t="s">
        <v>19</v>
      </c>
      <c r="P59" s="2">
        <v>1</v>
      </c>
      <c r="Q59" s="2" t="s">
        <v>29</v>
      </c>
      <c r="R59" s="482">
        <v>0</v>
      </c>
      <c r="U59" s="1021"/>
      <c r="V59" s="1021"/>
      <c r="W59" s="1021"/>
      <c r="X59" s="1021"/>
      <c r="Y59" s="1021"/>
    </row>
    <row r="60" spans="1:25">
      <c r="A60" s="2" t="s">
        <v>30</v>
      </c>
      <c r="B60" s="2"/>
      <c r="C60" s="2"/>
      <c r="D60" s="2"/>
      <c r="E60" s="2"/>
      <c r="F60" s="2"/>
      <c r="G60" s="2"/>
      <c r="H60" s="2">
        <v>0.35499999999999998</v>
      </c>
      <c r="I60" s="2"/>
      <c r="J60" s="2"/>
      <c r="K60" s="2"/>
      <c r="L60" s="2"/>
      <c r="M60" s="2"/>
      <c r="N60" s="2">
        <v>1</v>
      </c>
      <c r="O60" s="2" t="s">
        <v>19</v>
      </c>
      <c r="P60" s="2">
        <v>1</v>
      </c>
      <c r="Q60" s="2" t="s">
        <v>29</v>
      </c>
      <c r="R60" s="482">
        <v>0</v>
      </c>
    </row>
    <row r="61" spans="1:25">
      <c r="A61" s="2" t="s">
        <v>257</v>
      </c>
      <c r="B61" s="2">
        <v>0.318</v>
      </c>
      <c r="C61" s="2"/>
      <c r="D61" s="2"/>
      <c r="E61" s="2"/>
      <c r="F61" s="2"/>
      <c r="G61" s="2"/>
      <c r="H61" s="2">
        <v>0.318</v>
      </c>
      <c r="I61" s="2"/>
      <c r="J61" s="2"/>
      <c r="K61" s="2"/>
      <c r="L61" s="2"/>
      <c r="M61" s="2"/>
      <c r="N61" s="2">
        <v>1</v>
      </c>
      <c r="O61" s="2" t="s">
        <v>31</v>
      </c>
      <c r="P61" s="2">
        <v>4</v>
      </c>
      <c r="Q61" s="2" t="s">
        <v>24</v>
      </c>
      <c r="R61" s="482">
        <v>0</v>
      </c>
    </row>
    <row r="62" spans="1:25">
      <c r="A62" s="2" t="s">
        <v>258</v>
      </c>
      <c r="B62" s="2"/>
      <c r="C62" s="2"/>
      <c r="D62" s="2"/>
      <c r="E62" s="2"/>
      <c r="F62" s="2"/>
      <c r="G62" s="2"/>
      <c r="H62" s="2"/>
      <c r="I62" s="2">
        <f>(11.12*0.25)*0.1</f>
        <v>0.27799999999999997</v>
      </c>
      <c r="J62" s="2"/>
      <c r="K62" s="2"/>
      <c r="L62" s="2"/>
      <c r="M62" s="2"/>
      <c r="N62" s="2">
        <v>1</v>
      </c>
      <c r="O62" s="2" t="s">
        <v>31</v>
      </c>
      <c r="P62" s="2">
        <v>4</v>
      </c>
      <c r="Q62" s="2" t="s">
        <v>24</v>
      </c>
      <c r="R62" s="482">
        <v>0</v>
      </c>
    </row>
    <row r="63" spans="1:25">
      <c r="A63" s="2" t="s">
        <v>494</v>
      </c>
      <c r="B63" s="2"/>
      <c r="C63" s="2"/>
      <c r="D63" s="2"/>
      <c r="E63" s="2">
        <v>0.18</v>
      </c>
      <c r="F63" s="2"/>
      <c r="G63" s="2"/>
      <c r="H63" s="2"/>
      <c r="I63" s="2"/>
      <c r="J63" s="2">
        <v>0.33</v>
      </c>
      <c r="K63" s="2"/>
      <c r="L63" s="2"/>
      <c r="M63" s="2"/>
      <c r="N63" s="2">
        <v>1</v>
      </c>
      <c r="O63" s="2" t="s">
        <v>19</v>
      </c>
      <c r="P63" s="2">
        <v>1</v>
      </c>
      <c r="Q63" s="2" t="s">
        <v>29</v>
      </c>
      <c r="R63" s="482">
        <v>0</v>
      </c>
    </row>
    <row r="64" spans="1:25">
      <c r="A64" s="2" t="s">
        <v>484</v>
      </c>
      <c r="B64" s="2">
        <v>35.5</v>
      </c>
      <c r="C64" s="2"/>
      <c r="D64" s="2"/>
      <c r="E64" s="2">
        <v>0.185</v>
      </c>
      <c r="F64" s="2"/>
      <c r="G64" s="2"/>
      <c r="H64" s="2"/>
      <c r="I64" s="2"/>
      <c r="J64" s="2"/>
      <c r="K64" s="2"/>
      <c r="L64" s="2"/>
      <c r="M64" s="2"/>
      <c r="N64" s="2">
        <v>1</v>
      </c>
      <c r="O64" s="2" t="s">
        <v>19</v>
      </c>
      <c r="P64" s="2">
        <v>1</v>
      </c>
      <c r="Q64" s="2" t="s">
        <v>29</v>
      </c>
      <c r="R64" s="482">
        <v>0</v>
      </c>
    </row>
    <row r="65" spans="1:18">
      <c r="A65" s="2" t="s">
        <v>485</v>
      </c>
      <c r="B65" s="2"/>
      <c r="C65" s="2"/>
      <c r="D65" s="2"/>
      <c r="E65" s="2">
        <v>0.14000000000000001</v>
      </c>
      <c r="F65" s="2">
        <v>9.0999999999999998E-2</v>
      </c>
      <c r="G65" s="2"/>
      <c r="H65" s="2"/>
      <c r="I65" s="2"/>
      <c r="J65" s="2"/>
      <c r="K65" s="2"/>
      <c r="L65" s="2"/>
      <c r="M65" s="2"/>
      <c r="N65" s="2">
        <v>1</v>
      </c>
      <c r="O65" s="2" t="s">
        <v>19</v>
      </c>
      <c r="P65" s="2">
        <v>1</v>
      </c>
      <c r="Q65" s="2" t="s">
        <v>29</v>
      </c>
      <c r="R65" s="482">
        <v>0</v>
      </c>
    </row>
    <row r="66" spans="1:18">
      <c r="A66" s="2" t="s">
        <v>489</v>
      </c>
      <c r="B66" s="2"/>
      <c r="C66" s="2"/>
      <c r="D66" s="2"/>
      <c r="E66" s="2"/>
      <c r="F66" s="2"/>
      <c r="G66" s="2"/>
      <c r="H66" s="2"/>
      <c r="I66" s="2">
        <v>0.1</v>
      </c>
      <c r="J66" s="2"/>
      <c r="K66" s="2"/>
      <c r="L66" s="2"/>
      <c r="M66" s="2"/>
      <c r="N66" s="2">
        <v>1</v>
      </c>
      <c r="O66" s="2" t="s">
        <v>15</v>
      </c>
      <c r="P66" s="2">
        <v>1</v>
      </c>
      <c r="Q66" s="2" t="s">
        <v>24</v>
      </c>
      <c r="R66" s="482">
        <v>0</v>
      </c>
    </row>
    <row r="67" spans="1:18">
      <c r="A67" s="2" t="s">
        <v>492</v>
      </c>
      <c r="B67" s="2">
        <v>0.04</v>
      </c>
      <c r="C67" s="2"/>
      <c r="D67" s="2"/>
      <c r="E67" s="2"/>
      <c r="F67" s="2"/>
      <c r="G67" s="2"/>
      <c r="H67" s="2">
        <v>0.09</v>
      </c>
      <c r="I67" s="2"/>
      <c r="J67" s="2"/>
      <c r="K67" s="2"/>
      <c r="L67" s="2"/>
      <c r="M67" s="2"/>
      <c r="N67" s="2">
        <v>1</v>
      </c>
      <c r="O67" s="2" t="s">
        <v>15</v>
      </c>
      <c r="P67" s="2">
        <v>1</v>
      </c>
      <c r="Q67" s="2" t="s">
        <v>24</v>
      </c>
      <c r="R67" s="482">
        <v>0</v>
      </c>
    </row>
    <row r="68" spans="1:18">
      <c r="A68" s="567" t="s">
        <v>483</v>
      </c>
      <c r="B68" s="568">
        <v>0</v>
      </c>
      <c r="C68" s="568">
        <v>0</v>
      </c>
      <c r="D68" s="568">
        <v>0</v>
      </c>
      <c r="E68" s="568">
        <v>0</v>
      </c>
      <c r="F68" s="568">
        <v>0</v>
      </c>
      <c r="G68" s="568">
        <v>0</v>
      </c>
      <c r="H68" s="568">
        <v>0</v>
      </c>
      <c r="I68" s="568">
        <v>0</v>
      </c>
      <c r="J68" s="568">
        <v>0</v>
      </c>
      <c r="K68" s="568">
        <v>0</v>
      </c>
      <c r="L68" s="568">
        <v>0</v>
      </c>
      <c r="M68" s="568">
        <v>0</v>
      </c>
      <c r="N68" s="568">
        <v>0</v>
      </c>
      <c r="O68" s="567" t="s">
        <v>483</v>
      </c>
      <c r="P68" s="568">
        <v>0</v>
      </c>
      <c r="Q68" s="567" t="s">
        <v>483</v>
      </c>
      <c r="R68" s="482">
        <v>0</v>
      </c>
    </row>
    <row r="69" spans="1:18">
      <c r="A69" s="567" t="s">
        <v>483</v>
      </c>
      <c r="B69" s="568">
        <v>0</v>
      </c>
      <c r="C69" s="568">
        <v>0</v>
      </c>
      <c r="D69" s="568">
        <v>0</v>
      </c>
      <c r="E69" s="568">
        <v>0</v>
      </c>
      <c r="F69" s="568">
        <v>0</v>
      </c>
      <c r="G69" s="568">
        <v>0</v>
      </c>
      <c r="H69" s="568">
        <v>0</v>
      </c>
      <c r="I69" s="568">
        <v>0</v>
      </c>
      <c r="J69" s="568">
        <v>0</v>
      </c>
      <c r="K69" s="568">
        <v>0</v>
      </c>
      <c r="L69" s="568">
        <v>0</v>
      </c>
      <c r="M69" s="568">
        <v>0</v>
      </c>
      <c r="N69" s="568">
        <v>0</v>
      </c>
      <c r="O69" s="567" t="s">
        <v>483</v>
      </c>
      <c r="P69" s="568">
        <v>0</v>
      </c>
      <c r="Q69" s="567" t="s">
        <v>483</v>
      </c>
      <c r="R69" s="482">
        <v>0</v>
      </c>
    </row>
    <row r="70" spans="1:18">
      <c r="A70" s="567" t="s">
        <v>483</v>
      </c>
      <c r="B70" s="568">
        <v>0</v>
      </c>
      <c r="C70" s="568">
        <v>0</v>
      </c>
      <c r="D70" s="568">
        <v>0</v>
      </c>
      <c r="E70" s="568">
        <v>0</v>
      </c>
      <c r="F70" s="568">
        <v>0</v>
      </c>
      <c r="G70" s="568">
        <v>0</v>
      </c>
      <c r="H70" s="568">
        <v>0</v>
      </c>
      <c r="I70" s="568">
        <v>0</v>
      </c>
      <c r="J70" s="568">
        <v>0</v>
      </c>
      <c r="K70" s="568">
        <v>0</v>
      </c>
      <c r="L70" s="568">
        <v>0</v>
      </c>
      <c r="M70" s="568">
        <v>0</v>
      </c>
      <c r="N70" s="568">
        <v>0</v>
      </c>
      <c r="O70" s="567" t="s">
        <v>483</v>
      </c>
      <c r="P70" s="568">
        <v>0</v>
      </c>
      <c r="Q70" s="567" t="s">
        <v>483</v>
      </c>
      <c r="R70" s="482">
        <v>0</v>
      </c>
    </row>
    <row r="71" spans="1:18">
      <c r="A71" s="567" t="s">
        <v>483</v>
      </c>
      <c r="B71" s="568">
        <v>0</v>
      </c>
      <c r="C71" s="568">
        <v>0</v>
      </c>
      <c r="D71" s="568">
        <v>0</v>
      </c>
      <c r="E71" s="568">
        <v>0</v>
      </c>
      <c r="F71" s="568">
        <v>0</v>
      </c>
      <c r="G71" s="568">
        <v>0</v>
      </c>
      <c r="H71" s="568">
        <v>0</v>
      </c>
      <c r="I71" s="568">
        <v>0</v>
      </c>
      <c r="J71" s="568">
        <v>0</v>
      </c>
      <c r="K71" s="568">
        <v>0</v>
      </c>
      <c r="L71" s="568">
        <v>0</v>
      </c>
      <c r="M71" s="568">
        <v>0</v>
      </c>
      <c r="N71" s="568">
        <v>0</v>
      </c>
      <c r="O71" s="567" t="s">
        <v>483</v>
      </c>
      <c r="P71" s="568">
        <v>0</v>
      </c>
      <c r="Q71" s="567" t="s">
        <v>483</v>
      </c>
      <c r="R71" s="482">
        <v>0</v>
      </c>
    </row>
    <row r="72" spans="1:18">
      <c r="A72" s="2"/>
      <c r="B72" s="2"/>
      <c r="C72" s="2"/>
      <c r="D72" s="2"/>
      <c r="E72" s="2"/>
      <c r="F72" s="2"/>
      <c r="G72" s="2"/>
      <c r="H72" s="2"/>
      <c r="I72" s="2"/>
      <c r="J72" s="2"/>
      <c r="K72" s="2"/>
      <c r="L72" s="2"/>
      <c r="M72" s="2"/>
      <c r="N72" s="2"/>
      <c r="O72" s="2"/>
      <c r="P72" s="2"/>
      <c r="Q72" s="2"/>
      <c r="R72" s="483"/>
    </row>
    <row r="73" spans="1:18">
      <c r="A73" s="2"/>
      <c r="B73" s="2"/>
      <c r="C73" s="2"/>
      <c r="D73" s="2"/>
      <c r="E73" s="2"/>
      <c r="F73" s="2"/>
      <c r="G73" s="2"/>
      <c r="H73" s="2"/>
      <c r="I73" s="2"/>
      <c r="J73" s="2"/>
      <c r="K73" s="2"/>
      <c r="L73" s="2"/>
      <c r="M73" s="2"/>
      <c r="N73" s="2"/>
      <c r="O73" s="2"/>
      <c r="P73" s="2"/>
      <c r="Q73" s="2"/>
      <c r="R73" s="483"/>
    </row>
    <row r="74" spans="1:18">
      <c r="A74" s="577" t="s">
        <v>32</v>
      </c>
      <c r="B74" s="48" t="s">
        <v>2</v>
      </c>
      <c r="C74" s="48" t="s">
        <v>3</v>
      </c>
      <c r="D74" s="48" t="s">
        <v>4</v>
      </c>
      <c r="E74" s="48" t="s">
        <v>5</v>
      </c>
      <c r="F74" s="48" t="s">
        <v>6</v>
      </c>
      <c r="G74" s="48" t="s">
        <v>7</v>
      </c>
      <c r="H74" s="48" t="s">
        <v>8</v>
      </c>
      <c r="I74" s="48" t="s">
        <v>9</v>
      </c>
      <c r="J74" s="48" t="s">
        <v>486</v>
      </c>
      <c r="K74" s="48" t="s">
        <v>849</v>
      </c>
      <c r="L74" s="48" t="s">
        <v>883</v>
      </c>
      <c r="M74" s="48" t="s">
        <v>884</v>
      </c>
      <c r="N74" s="2" t="s">
        <v>10</v>
      </c>
      <c r="O74" s="2" t="s">
        <v>885</v>
      </c>
      <c r="P74" s="2" t="s">
        <v>12</v>
      </c>
      <c r="Q74" s="2" t="s">
        <v>106</v>
      </c>
      <c r="R74" s="481" t="s">
        <v>128</v>
      </c>
    </row>
    <row r="75" spans="1:18" hidden="1">
      <c r="A75" s="2" t="s">
        <v>13</v>
      </c>
      <c r="B75" s="2"/>
      <c r="C75" s="2"/>
      <c r="D75" s="2"/>
      <c r="E75" s="2"/>
      <c r="F75" s="2"/>
      <c r="G75" s="2"/>
      <c r="H75" s="2"/>
      <c r="I75" s="2"/>
      <c r="J75" s="2"/>
      <c r="K75" s="2"/>
      <c r="L75" s="2"/>
      <c r="M75" s="2"/>
      <c r="N75" s="2"/>
      <c r="O75" s="2"/>
      <c r="P75" s="2">
        <v>1</v>
      </c>
      <c r="Q75" s="2" t="s">
        <v>13</v>
      </c>
      <c r="R75" s="483">
        <v>0</v>
      </c>
    </row>
    <row r="76" spans="1:18">
      <c r="A76" s="2" t="s">
        <v>33</v>
      </c>
      <c r="B76" s="2"/>
      <c r="C76" s="2"/>
      <c r="D76" s="2"/>
      <c r="E76" s="2"/>
      <c r="F76" s="2">
        <v>0.03</v>
      </c>
      <c r="G76" s="2">
        <v>0.22</v>
      </c>
      <c r="H76" s="2"/>
      <c r="I76" s="2"/>
      <c r="J76" s="2"/>
      <c r="K76" s="2"/>
      <c r="L76" s="2"/>
      <c r="M76" s="2"/>
      <c r="N76" s="2">
        <v>1</v>
      </c>
      <c r="O76" s="2" t="s">
        <v>19</v>
      </c>
      <c r="P76" s="2">
        <v>2000</v>
      </c>
      <c r="Q76" s="2" t="s">
        <v>34</v>
      </c>
      <c r="R76" s="482">
        <v>0</v>
      </c>
    </row>
    <row r="77" spans="1:18">
      <c r="A77" s="2" t="s">
        <v>365</v>
      </c>
      <c r="B77" s="2">
        <v>0.55000000000000004</v>
      </c>
      <c r="C77" s="2">
        <v>0.01</v>
      </c>
      <c r="D77" s="2">
        <v>3.5999999999999999E-3</v>
      </c>
      <c r="E77" s="2"/>
      <c r="F77" s="2"/>
      <c r="G77" s="2">
        <v>29</v>
      </c>
      <c r="H77" s="2"/>
      <c r="I77" s="2"/>
      <c r="J77" s="2"/>
      <c r="K77" s="2"/>
      <c r="L77" s="2"/>
      <c r="M77" s="2"/>
      <c r="N77" s="2">
        <v>1</v>
      </c>
      <c r="O77" s="2" t="s">
        <v>36</v>
      </c>
      <c r="P77" s="2">
        <v>1</v>
      </c>
      <c r="Q77" s="2" t="s">
        <v>34</v>
      </c>
      <c r="R77" s="482">
        <v>0</v>
      </c>
    </row>
    <row r="78" spans="1:18">
      <c r="A78" s="2" t="s">
        <v>35</v>
      </c>
      <c r="B78" s="2"/>
      <c r="C78" s="2"/>
      <c r="D78" s="2"/>
      <c r="E78" s="2"/>
      <c r="F78" s="2">
        <v>11</v>
      </c>
      <c r="G78" s="2">
        <v>42</v>
      </c>
      <c r="H78" s="2"/>
      <c r="I78" s="2"/>
      <c r="J78" s="2"/>
      <c r="K78" s="2"/>
      <c r="L78" s="2"/>
      <c r="M78" s="2"/>
      <c r="N78" s="2">
        <v>1</v>
      </c>
      <c r="O78" s="2" t="s">
        <v>36</v>
      </c>
      <c r="P78" s="2">
        <v>1</v>
      </c>
      <c r="Q78" s="2" t="s">
        <v>34</v>
      </c>
      <c r="R78" s="482">
        <v>0</v>
      </c>
    </row>
    <row r="79" spans="1:18">
      <c r="A79" s="2" t="s">
        <v>37</v>
      </c>
      <c r="B79" s="2"/>
      <c r="C79" s="2"/>
      <c r="D79" s="2"/>
      <c r="E79" s="2"/>
      <c r="F79" s="2"/>
      <c r="G79" s="2">
        <v>80</v>
      </c>
      <c r="H79" s="2"/>
      <c r="I79" s="2"/>
      <c r="J79" s="2"/>
      <c r="K79" s="2"/>
      <c r="L79" s="2"/>
      <c r="M79" s="2"/>
      <c r="N79" s="2">
        <v>1</v>
      </c>
      <c r="O79" s="2" t="s">
        <v>36</v>
      </c>
      <c r="P79" s="2">
        <v>1</v>
      </c>
      <c r="Q79" s="2" t="s">
        <v>34</v>
      </c>
      <c r="R79" s="482">
        <v>0</v>
      </c>
    </row>
    <row r="80" spans="1:18">
      <c r="A80" s="567" t="s">
        <v>483</v>
      </c>
      <c r="B80" s="568">
        <v>0</v>
      </c>
      <c r="C80" s="568">
        <v>0</v>
      </c>
      <c r="D80" s="568">
        <v>0</v>
      </c>
      <c r="E80" s="568">
        <v>0</v>
      </c>
      <c r="F80" s="568">
        <v>0</v>
      </c>
      <c r="G80" s="568">
        <v>0</v>
      </c>
      <c r="H80" s="568">
        <v>0</v>
      </c>
      <c r="I80" s="568">
        <v>0</v>
      </c>
      <c r="J80" s="568">
        <v>0</v>
      </c>
      <c r="K80" s="568">
        <v>0</v>
      </c>
      <c r="L80" s="568">
        <v>0</v>
      </c>
      <c r="M80" s="568">
        <v>0</v>
      </c>
      <c r="N80" s="568">
        <v>0</v>
      </c>
      <c r="O80" s="567" t="s">
        <v>483</v>
      </c>
      <c r="P80" s="568">
        <v>0</v>
      </c>
      <c r="Q80" s="567" t="s">
        <v>483</v>
      </c>
      <c r="R80" s="482">
        <v>0</v>
      </c>
    </row>
    <row r="81" spans="1:18">
      <c r="A81" s="567" t="s">
        <v>483</v>
      </c>
      <c r="B81" s="568">
        <v>0</v>
      </c>
      <c r="C81" s="568">
        <v>0</v>
      </c>
      <c r="D81" s="568">
        <v>0</v>
      </c>
      <c r="E81" s="568">
        <v>0</v>
      </c>
      <c r="F81" s="568">
        <v>0</v>
      </c>
      <c r="G81" s="568">
        <v>0</v>
      </c>
      <c r="H81" s="568">
        <v>0</v>
      </c>
      <c r="I81" s="568">
        <v>0</v>
      </c>
      <c r="J81" s="568">
        <v>0</v>
      </c>
      <c r="K81" s="568">
        <v>0</v>
      </c>
      <c r="L81" s="568">
        <v>0</v>
      </c>
      <c r="M81" s="568">
        <v>0</v>
      </c>
      <c r="N81" s="568">
        <v>0</v>
      </c>
      <c r="O81" s="567" t="s">
        <v>483</v>
      </c>
      <c r="P81" s="568">
        <v>0</v>
      </c>
      <c r="Q81" s="567" t="s">
        <v>483</v>
      </c>
      <c r="R81" s="482">
        <v>0</v>
      </c>
    </row>
    <row r="82" spans="1:18">
      <c r="A82" s="567" t="s">
        <v>483</v>
      </c>
      <c r="B82" s="568">
        <v>0</v>
      </c>
      <c r="C82" s="568">
        <v>0</v>
      </c>
      <c r="D82" s="568">
        <v>0</v>
      </c>
      <c r="E82" s="568">
        <v>0</v>
      </c>
      <c r="F82" s="568">
        <v>0</v>
      </c>
      <c r="G82" s="568">
        <v>0</v>
      </c>
      <c r="H82" s="568">
        <v>0</v>
      </c>
      <c r="I82" s="568">
        <v>0</v>
      </c>
      <c r="J82" s="568">
        <v>0</v>
      </c>
      <c r="K82" s="568">
        <v>0</v>
      </c>
      <c r="L82" s="568">
        <v>0</v>
      </c>
      <c r="M82" s="568">
        <v>0</v>
      </c>
      <c r="N82" s="568">
        <v>0</v>
      </c>
      <c r="O82" s="567" t="s">
        <v>483</v>
      </c>
      <c r="P82" s="568">
        <v>0</v>
      </c>
      <c r="Q82" s="567" t="s">
        <v>483</v>
      </c>
      <c r="R82" s="482">
        <v>0</v>
      </c>
    </row>
    <row r="83" spans="1:18">
      <c r="A83" s="567" t="s">
        <v>483</v>
      </c>
      <c r="B83" s="568">
        <v>0</v>
      </c>
      <c r="C83" s="568">
        <v>0</v>
      </c>
      <c r="D83" s="568">
        <v>0</v>
      </c>
      <c r="E83" s="568">
        <v>0</v>
      </c>
      <c r="F83" s="568">
        <v>0</v>
      </c>
      <c r="G83" s="568">
        <v>0</v>
      </c>
      <c r="H83" s="568">
        <v>0</v>
      </c>
      <c r="I83" s="568">
        <v>0</v>
      </c>
      <c r="J83" s="568">
        <v>0</v>
      </c>
      <c r="K83" s="568">
        <v>0</v>
      </c>
      <c r="L83" s="568">
        <v>0</v>
      </c>
      <c r="M83" s="568">
        <v>0</v>
      </c>
      <c r="N83" s="568">
        <v>0</v>
      </c>
      <c r="O83" s="567" t="s">
        <v>483</v>
      </c>
      <c r="P83" s="568">
        <v>0</v>
      </c>
      <c r="Q83" s="567" t="s">
        <v>483</v>
      </c>
      <c r="R83" s="482">
        <v>0</v>
      </c>
    </row>
    <row r="84" spans="1:18">
      <c r="A84" s="2"/>
      <c r="B84" s="2"/>
      <c r="C84" s="2"/>
      <c r="D84" s="2"/>
      <c r="E84" s="2"/>
      <c r="F84" s="2"/>
      <c r="G84" s="2"/>
      <c r="H84" s="2"/>
      <c r="I84" s="2"/>
      <c r="J84" s="2"/>
      <c r="K84" s="2"/>
      <c r="L84" s="2"/>
      <c r="M84" s="2"/>
      <c r="N84" s="2"/>
      <c r="O84" s="2"/>
      <c r="P84" s="2"/>
      <c r="Q84" s="2"/>
      <c r="R84" s="483"/>
    </row>
    <row r="85" spans="1:18">
      <c r="A85" s="2"/>
      <c r="B85" s="2"/>
      <c r="C85" s="2"/>
      <c r="D85" s="2"/>
      <c r="E85" s="2"/>
      <c r="F85" s="2"/>
      <c r="G85" s="2"/>
      <c r="H85" s="2"/>
      <c r="I85" s="2"/>
      <c r="J85" s="2"/>
      <c r="K85" s="2"/>
      <c r="L85" s="2"/>
      <c r="M85" s="2"/>
      <c r="N85" s="2"/>
      <c r="O85" s="2"/>
      <c r="P85" s="2"/>
      <c r="Q85" s="2"/>
      <c r="R85" s="483"/>
    </row>
    <row r="86" spans="1:18">
      <c r="A86" s="577" t="s">
        <v>38</v>
      </c>
      <c r="B86" s="2"/>
      <c r="C86" s="2"/>
      <c r="D86" s="2"/>
      <c r="E86" s="2"/>
      <c r="F86" s="2"/>
      <c r="G86" s="2"/>
      <c r="H86" s="2"/>
      <c r="I86" s="2"/>
      <c r="J86" s="2"/>
      <c r="K86" s="2"/>
      <c r="L86" s="2"/>
      <c r="M86" s="2"/>
      <c r="N86" s="2" t="s">
        <v>10</v>
      </c>
      <c r="O86" s="2" t="s">
        <v>885</v>
      </c>
      <c r="P86" s="2" t="s">
        <v>12</v>
      </c>
      <c r="Q86" s="2" t="s">
        <v>106</v>
      </c>
      <c r="R86" s="481" t="s">
        <v>128</v>
      </c>
    </row>
    <row r="87" spans="1:18" hidden="1">
      <c r="A87" s="2" t="s">
        <v>13</v>
      </c>
      <c r="B87" s="2"/>
      <c r="C87" s="2"/>
      <c r="D87" s="2"/>
      <c r="E87" s="2"/>
      <c r="F87" s="2"/>
      <c r="G87" s="2"/>
      <c r="H87" s="2"/>
      <c r="I87" s="2"/>
      <c r="J87" s="2"/>
      <c r="K87" s="2"/>
      <c r="L87" s="2"/>
      <c r="M87" s="2"/>
      <c r="N87" s="2"/>
      <c r="O87" s="2"/>
      <c r="P87" s="2">
        <v>1</v>
      </c>
      <c r="Q87" s="2" t="s">
        <v>13</v>
      </c>
      <c r="R87" s="483">
        <v>0</v>
      </c>
    </row>
    <row r="88" spans="1:18">
      <c r="A88" s="2" t="s">
        <v>39</v>
      </c>
      <c r="B88" s="2"/>
      <c r="C88" s="2"/>
      <c r="D88" s="2"/>
      <c r="E88" s="2"/>
      <c r="F88" s="2"/>
      <c r="G88" s="2"/>
      <c r="H88" s="2"/>
      <c r="I88" s="2"/>
      <c r="J88" s="2"/>
      <c r="K88" s="2"/>
      <c r="L88" s="2"/>
      <c r="M88" s="2"/>
      <c r="N88" s="2">
        <v>1</v>
      </c>
      <c r="O88" s="2" t="s">
        <v>40</v>
      </c>
      <c r="P88" s="2">
        <v>128</v>
      </c>
      <c r="Q88" s="2" t="s">
        <v>24</v>
      </c>
      <c r="R88" s="482">
        <v>0</v>
      </c>
    </row>
    <row r="89" spans="1:18">
      <c r="A89" s="2" t="s">
        <v>45</v>
      </c>
      <c r="B89" s="2"/>
      <c r="C89" s="2"/>
      <c r="D89" s="2"/>
      <c r="E89" s="2"/>
      <c r="F89" s="2"/>
      <c r="G89" s="2"/>
      <c r="H89" s="2"/>
      <c r="I89" s="2"/>
      <c r="J89" s="2"/>
      <c r="K89" s="2"/>
      <c r="L89" s="2"/>
      <c r="M89" s="2"/>
      <c r="N89" s="2">
        <v>1</v>
      </c>
      <c r="O89" s="2" t="s">
        <v>40</v>
      </c>
      <c r="P89" s="2">
        <v>128</v>
      </c>
      <c r="Q89" s="2" t="s">
        <v>24</v>
      </c>
      <c r="R89" s="482">
        <v>0</v>
      </c>
    </row>
    <row r="90" spans="1:18">
      <c r="A90" s="2" t="s">
        <v>41</v>
      </c>
      <c r="B90" s="2"/>
      <c r="C90" s="2"/>
      <c r="D90" s="2"/>
      <c r="E90" s="2"/>
      <c r="F90" s="2"/>
      <c r="G90" s="2"/>
      <c r="H90" s="2"/>
      <c r="I90" s="2"/>
      <c r="J90" s="2"/>
      <c r="K90" s="2"/>
      <c r="L90" s="2"/>
      <c r="M90" s="2"/>
      <c r="N90" s="2">
        <v>1</v>
      </c>
      <c r="O90" s="2" t="s">
        <v>42</v>
      </c>
      <c r="P90" s="2">
        <v>4</v>
      </c>
      <c r="Q90" s="2" t="s">
        <v>24</v>
      </c>
      <c r="R90" s="482">
        <v>0</v>
      </c>
    </row>
    <row r="91" spans="1:18">
      <c r="A91" s="2" t="s">
        <v>43</v>
      </c>
      <c r="B91" s="2"/>
      <c r="C91" s="2"/>
      <c r="D91" s="2"/>
      <c r="E91" s="2"/>
      <c r="F91" s="2"/>
      <c r="G91" s="2"/>
      <c r="H91" s="2"/>
      <c r="I91" s="2"/>
      <c r="J91" s="2"/>
      <c r="K91" s="2"/>
      <c r="L91" s="2"/>
      <c r="M91" s="2"/>
      <c r="N91" s="2">
        <v>1</v>
      </c>
      <c r="O91" s="2" t="s">
        <v>42</v>
      </c>
      <c r="P91" s="2">
        <v>4</v>
      </c>
      <c r="Q91" s="2" t="s">
        <v>24</v>
      </c>
      <c r="R91" s="482">
        <v>0</v>
      </c>
    </row>
    <row r="92" spans="1:18">
      <c r="A92" s="2" t="s">
        <v>44</v>
      </c>
      <c r="B92" s="2"/>
      <c r="C92" s="2"/>
      <c r="D92" s="2"/>
      <c r="E92" s="2"/>
      <c r="F92" s="2"/>
      <c r="G92" s="2"/>
      <c r="H92" s="2"/>
      <c r="I92" s="2"/>
      <c r="J92" s="2"/>
      <c r="K92" s="2"/>
      <c r="L92" s="2"/>
      <c r="M92" s="2"/>
      <c r="N92" s="2">
        <v>1</v>
      </c>
      <c r="O92" s="2" t="s">
        <v>42</v>
      </c>
      <c r="P92" s="2">
        <v>4</v>
      </c>
      <c r="Q92" s="2" t="s">
        <v>24</v>
      </c>
      <c r="R92" s="482"/>
    </row>
    <row r="93" spans="1:18">
      <c r="A93" s="567" t="s">
        <v>483</v>
      </c>
      <c r="B93" s="2"/>
      <c r="C93" s="2"/>
      <c r="D93" s="2"/>
      <c r="E93" s="2"/>
      <c r="F93" s="2"/>
      <c r="G93" s="2"/>
      <c r="H93" s="2"/>
      <c r="I93" s="2"/>
      <c r="J93" s="2"/>
      <c r="K93" s="2"/>
      <c r="L93" s="2"/>
      <c r="M93" s="2"/>
      <c r="N93" s="568">
        <v>0</v>
      </c>
      <c r="O93" s="567" t="s">
        <v>483</v>
      </c>
      <c r="P93" s="568">
        <v>0</v>
      </c>
      <c r="Q93" s="567" t="s">
        <v>483</v>
      </c>
      <c r="R93" s="482">
        <v>0</v>
      </c>
    </row>
    <row r="94" spans="1:18">
      <c r="A94" s="567" t="s">
        <v>483</v>
      </c>
      <c r="B94" s="2"/>
      <c r="C94" s="2"/>
      <c r="D94" s="2"/>
      <c r="E94" s="2"/>
      <c r="F94" s="2"/>
      <c r="G94" s="2"/>
      <c r="H94" s="2"/>
      <c r="I94" s="2"/>
      <c r="J94" s="2"/>
      <c r="K94" s="2"/>
      <c r="L94" s="2"/>
      <c r="M94" s="2"/>
      <c r="N94" s="568">
        <v>0</v>
      </c>
      <c r="O94" s="567" t="s">
        <v>483</v>
      </c>
      <c r="P94" s="568">
        <v>0</v>
      </c>
      <c r="Q94" s="567" t="s">
        <v>483</v>
      </c>
      <c r="R94" s="482">
        <v>0</v>
      </c>
    </row>
    <row r="95" spans="1:18">
      <c r="A95" s="567" t="s">
        <v>483</v>
      </c>
      <c r="B95" s="2"/>
      <c r="C95" s="2"/>
      <c r="D95" s="2"/>
      <c r="E95" s="2"/>
      <c r="F95" s="2"/>
      <c r="G95" s="2"/>
      <c r="H95" s="2"/>
      <c r="I95" s="2"/>
      <c r="J95" s="2"/>
      <c r="K95" s="2"/>
      <c r="L95" s="2"/>
      <c r="M95" s="2"/>
      <c r="N95" s="568">
        <v>0</v>
      </c>
      <c r="O95" s="567" t="s">
        <v>483</v>
      </c>
      <c r="P95" s="568">
        <v>0</v>
      </c>
      <c r="Q95" s="567" t="s">
        <v>483</v>
      </c>
      <c r="R95" s="482">
        <v>0</v>
      </c>
    </row>
    <row r="96" spans="1:18">
      <c r="A96" s="567" t="s">
        <v>483</v>
      </c>
      <c r="B96" s="2"/>
      <c r="C96" s="2"/>
      <c r="D96" s="2"/>
      <c r="E96" s="2"/>
      <c r="F96" s="2"/>
      <c r="G96" s="2"/>
      <c r="H96" s="2"/>
      <c r="I96" s="2"/>
      <c r="J96" s="2"/>
      <c r="K96" s="2"/>
      <c r="L96" s="2"/>
      <c r="M96" s="2"/>
      <c r="N96" s="568">
        <v>0</v>
      </c>
      <c r="O96" s="567" t="s">
        <v>483</v>
      </c>
      <c r="P96" s="568">
        <v>0</v>
      </c>
      <c r="Q96" s="567" t="s">
        <v>483</v>
      </c>
      <c r="R96" s="482">
        <v>0</v>
      </c>
    </row>
  </sheetData>
  <sheetProtection algorithmName="SHA-512" hashValue="711a8Zg4K1GY3i75Q87xyjerks9WgFIzTHDIva7CAbcMUcwNuoY9VD4p9DDa0uhh1w7DH39pl3B9DUBlLagb1A==" saltValue="wiqs5z3AIw+u6mcN0QnMTQ==" spinCount="100000" sheet="1" objects="1" scenarios="1"/>
  <sortState xmlns:xlrd2="http://schemas.microsoft.com/office/spreadsheetml/2017/richdata2" ref="A5:Q47">
    <sortCondition ref="A5:A47"/>
  </sortState>
  <mergeCells count="5">
    <mergeCell ref="U43:Y44"/>
    <mergeCell ref="U46:Y46"/>
    <mergeCell ref="U58:Y59"/>
    <mergeCell ref="B2:J2"/>
    <mergeCell ref="T22:AA22"/>
  </mergeCells>
  <hyperlinks>
    <hyperlink ref="U40" r:id="rId1" xr:uid="{90556FCE-CA66-41E5-BA74-278846D275AF}"/>
    <hyperlink ref="U39" r:id="rId2" xr:uid="{9E760F4B-40F0-4C9D-998D-38388A6A7BAF}"/>
  </hyperlinks>
  <pageMargins left="0.7" right="0.7" top="0.75" bottom="0.75" header="0.3" footer="0.3"/>
  <pageSetup scale="94"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r:uid="{7E4404C3-DAA4-406D-B544-7F411DA5F5E8}">
          <x14:formula1>
            <xm:f>'Manure and Nutrient Credits'!$A$37:$A$41</xm:f>
          </x14:formula1>
          <xm:sqref>Y54 Y49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AI249"/>
  <sheetViews>
    <sheetView zoomScale="80" zoomScaleNormal="80" zoomScalePageLayoutView="70" workbookViewId="0">
      <pane ySplit="1" topLeftCell="A2" activePane="bottomLeft" state="frozen"/>
      <selection pane="bottomLeft" activeCell="J77" sqref="J77"/>
    </sheetView>
  </sheetViews>
  <sheetFormatPr defaultColWidth="8.85546875" defaultRowHeight="15"/>
  <cols>
    <col min="1" max="1" width="42.42578125" style="6" bestFit="1" customWidth="1"/>
    <col min="2" max="2" width="18.42578125" style="6" hidden="1" customWidth="1"/>
    <col min="3" max="3" width="17" style="6" customWidth="1"/>
    <col min="4" max="4" width="12" style="6" hidden="1" customWidth="1"/>
    <col min="5" max="5" width="13.7109375" style="6" bestFit="1" customWidth="1"/>
    <col min="6" max="6" width="6.28515625" style="6" bestFit="1" customWidth="1"/>
    <col min="7" max="7" width="14.7109375" style="6" bestFit="1" customWidth="1"/>
    <col min="8" max="8" width="6.28515625" style="6" customWidth="1"/>
    <col min="9" max="11" width="13.7109375" style="6" customWidth="1"/>
    <col min="12" max="12" width="8.85546875" style="6"/>
    <col min="13" max="13" width="42.42578125" style="6" bestFit="1" customWidth="1"/>
    <col min="14" max="14" width="15.42578125" style="6" hidden="1" customWidth="1"/>
    <col min="15" max="15" width="17" style="6" customWidth="1"/>
    <col min="16" max="16" width="13.7109375" style="6" hidden="1" customWidth="1"/>
    <col min="17" max="17" width="13.7109375" style="6" bestFit="1" customWidth="1"/>
    <col min="18" max="18" width="6.140625" style="6" bestFit="1" customWidth="1"/>
    <col min="19" max="19" width="14.42578125" style="6" customWidth="1"/>
    <col min="20" max="20" width="6.28515625" style="6" customWidth="1"/>
    <col min="21" max="23" width="13.7109375" style="6" customWidth="1"/>
    <col min="24" max="24" width="9.140625" style="6" customWidth="1"/>
    <col min="25" max="25" width="42.42578125" style="6" bestFit="1" customWidth="1"/>
    <col min="26" max="26" width="15.42578125" style="6" hidden="1" customWidth="1"/>
    <col min="27" max="27" width="17" style="6" customWidth="1"/>
    <col min="28" max="28" width="13.7109375" style="6" hidden="1" customWidth="1"/>
    <col min="29" max="29" width="13.7109375" style="6" bestFit="1" customWidth="1"/>
    <col min="30" max="30" width="6.140625" style="6" bestFit="1" customWidth="1"/>
    <col min="31" max="31" width="14.7109375" style="6" bestFit="1" customWidth="1"/>
    <col min="32" max="32" width="6.28515625" style="6" customWidth="1"/>
    <col min="33" max="35" width="13.7109375" style="6" customWidth="1"/>
    <col min="36" max="36" width="43.42578125" style="6" bestFit="1" customWidth="1"/>
    <col min="37" max="37" width="13" style="6" customWidth="1"/>
    <col min="38" max="38" width="7.28515625" style="6" customWidth="1"/>
    <col min="39" max="39" width="12.28515625" style="6" customWidth="1"/>
    <col min="40" max="40" width="8.85546875" style="6"/>
    <col min="41" max="43" width="9.140625" style="6" customWidth="1"/>
    <col min="44" max="16384" width="8.85546875" style="6"/>
  </cols>
  <sheetData>
    <row r="1" spans="1:35" s="50" customFormat="1" ht="33.75">
      <c r="A1" s="1029" t="str">
        <f>'Crop Budget (Main)'!C5</f>
        <v>Select Crop</v>
      </c>
      <c r="B1" s="1030"/>
      <c r="C1" s="1030"/>
      <c r="D1" s="1030"/>
      <c r="E1" s="1030"/>
      <c r="F1" s="1030"/>
      <c r="G1" s="1030"/>
      <c r="H1" s="1030"/>
      <c r="I1" s="1030"/>
      <c r="J1" s="1030"/>
      <c r="K1" s="1031"/>
      <c r="L1" s="123"/>
      <c r="M1" s="1029" t="str">
        <f>'Crop Budget (Main)'!G5</f>
        <v>Select Crop</v>
      </c>
      <c r="N1" s="1030"/>
      <c r="O1" s="1030"/>
      <c r="P1" s="1030"/>
      <c r="Q1" s="1030"/>
      <c r="R1" s="1030"/>
      <c r="S1" s="1030"/>
      <c r="T1" s="1030"/>
      <c r="U1" s="1030"/>
      <c r="V1" s="1030"/>
      <c r="W1" s="1031"/>
      <c r="X1" s="122"/>
      <c r="Y1" s="1029" t="str">
        <f>'Crop Budget (Main)'!K5</f>
        <v>Select Crop</v>
      </c>
      <c r="Z1" s="1030"/>
      <c r="AA1" s="1030"/>
      <c r="AB1" s="1030"/>
      <c r="AC1" s="1030"/>
      <c r="AD1" s="1030"/>
      <c r="AE1" s="1030"/>
      <c r="AF1" s="1030"/>
      <c r="AG1" s="1030"/>
      <c r="AH1" s="1030"/>
      <c r="AI1" s="1031"/>
    </row>
    <row r="2" spans="1:35" ht="16.5" thickBot="1">
      <c r="A2" s="27"/>
      <c r="B2" s="28"/>
      <c r="C2" s="29"/>
      <c r="D2" s="30"/>
      <c r="E2" s="30"/>
      <c r="F2" s="28"/>
      <c r="G2" s="30"/>
      <c r="H2" s="2"/>
      <c r="I2" s="2"/>
      <c r="J2" s="2"/>
      <c r="K2" s="49"/>
      <c r="L2" s="2"/>
      <c r="M2" s="27"/>
      <c r="N2" s="28"/>
      <c r="O2" s="29"/>
      <c r="P2" s="30"/>
      <c r="Q2" s="30"/>
      <c r="R2" s="28"/>
      <c r="S2" s="30"/>
      <c r="T2" s="2"/>
      <c r="U2" s="2"/>
      <c r="V2" s="2"/>
      <c r="W2" s="49"/>
      <c r="X2"/>
      <c r="Y2" s="27"/>
      <c r="Z2" s="28"/>
      <c r="AA2" s="29"/>
      <c r="AB2" s="30"/>
      <c r="AC2" s="30"/>
      <c r="AD2" s="28"/>
      <c r="AE2" s="30"/>
      <c r="AF2"/>
      <c r="AG2"/>
      <c r="AH2"/>
      <c r="AI2" s="7"/>
    </row>
    <row r="3" spans="1:35" s="51" customFormat="1" ht="16.5" customHeight="1" thickBot="1">
      <c r="A3" s="1026" t="s">
        <v>889</v>
      </c>
      <c r="B3" s="1027"/>
      <c r="C3" s="1027"/>
      <c r="D3" s="1027"/>
      <c r="E3" s="1027"/>
      <c r="F3" s="1027"/>
      <c r="G3" s="1027"/>
      <c r="H3" s="1027"/>
      <c r="I3" s="1027"/>
      <c r="J3" s="1027"/>
      <c r="K3" s="1028"/>
      <c r="L3" s="2"/>
      <c r="M3" s="1026" t="s">
        <v>889</v>
      </c>
      <c r="N3" s="1027"/>
      <c r="O3" s="1027"/>
      <c r="P3" s="1027"/>
      <c r="Q3" s="1027"/>
      <c r="R3" s="1027"/>
      <c r="S3" s="1027"/>
      <c r="T3" s="1027"/>
      <c r="U3" s="1027"/>
      <c r="V3" s="1027"/>
      <c r="W3" s="1028"/>
      <c r="X3" s="96"/>
      <c r="Y3" s="1026" t="s">
        <v>889</v>
      </c>
      <c r="Z3" s="1027"/>
      <c r="AA3" s="1027"/>
      <c r="AB3" s="1027"/>
      <c r="AC3" s="1027"/>
      <c r="AD3" s="1027"/>
      <c r="AE3" s="1027"/>
      <c r="AF3" s="1027"/>
      <c r="AG3" s="1027"/>
      <c r="AH3" s="1027"/>
      <c r="AI3" s="1028"/>
    </row>
    <row r="4" spans="1:35" s="51" customFormat="1" ht="31.5">
      <c r="A4" s="27" t="s">
        <v>126</v>
      </c>
      <c r="B4" s="28" t="s">
        <v>106</v>
      </c>
      <c r="C4" s="29" t="s">
        <v>107</v>
      </c>
      <c r="D4" s="30" t="s">
        <v>12</v>
      </c>
      <c r="E4" s="30" t="s">
        <v>108</v>
      </c>
      <c r="F4" s="28" t="s">
        <v>11</v>
      </c>
      <c r="G4" s="30" t="s">
        <v>109</v>
      </c>
      <c r="H4" s="2"/>
      <c r="I4" s="2"/>
      <c r="J4" s="2"/>
      <c r="K4" s="49"/>
      <c r="L4" s="2"/>
      <c r="M4" s="27" t="s">
        <v>126</v>
      </c>
      <c r="N4" s="28" t="s">
        <v>106</v>
      </c>
      <c r="O4" s="29" t="s">
        <v>107</v>
      </c>
      <c r="P4" s="30" t="s">
        <v>12</v>
      </c>
      <c r="Q4" s="30" t="s">
        <v>108</v>
      </c>
      <c r="R4" s="28" t="s">
        <v>11</v>
      </c>
      <c r="S4" s="30" t="s">
        <v>109</v>
      </c>
      <c r="T4" s="2"/>
      <c r="U4" s="2"/>
      <c r="V4" s="2"/>
      <c r="W4" s="49"/>
      <c r="X4" s="2"/>
      <c r="Y4" s="27" t="s">
        <v>126</v>
      </c>
      <c r="Z4" s="28" t="s">
        <v>106</v>
      </c>
      <c r="AA4" s="29" t="s">
        <v>107</v>
      </c>
      <c r="AB4" s="30" t="s">
        <v>12</v>
      </c>
      <c r="AC4" s="30" t="s">
        <v>108</v>
      </c>
      <c r="AD4" s="28" t="s">
        <v>11</v>
      </c>
      <c r="AE4" s="30" t="s">
        <v>109</v>
      </c>
      <c r="AF4" s="2"/>
      <c r="AG4" s="2"/>
      <c r="AH4" s="2"/>
      <c r="AI4" s="49"/>
    </row>
    <row r="5" spans="1:35" s="51" customFormat="1" ht="15.75">
      <c r="A5" s="105" t="s">
        <v>500</v>
      </c>
      <c r="B5" s="48"/>
      <c r="C5" s="820"/>
      <c r="D5" s="36"/>
      <c r="E5" s="45" t="s">
        <v>128</v>
      </c>
      <c r="F5" s="41"/>
      <c r="G5" s="38"/>
      <c r="H5" s="2"/>
      <c r="I5" s="607" t="s">
        <v>96</v>
      </c>
      <c r="J5" s="607" t="s">
        <v>97</v>
      </c>
      <c r="K5" s="608" t="s">
        <v>98</v>
      </c>
      <c r="L5" s="2"/>
      <c r="M5" s="105" t="s">
        <v>500</v>
      </c>
      <c r="N5" s="48"/>
      <c r="O5" s="820"/>
      <c r="P5" s="36"/>
      <c r="Q5" s="45" t="s">
        <v>128</v>
      </c>
      <c r="R5" s="41"/>
      <c r="S5" s="38"/>
      <c r="T5" s="2"/>
      <c r="U5" s="607" t="s">
        <v>96</v>
      </c>
      <c r="V5" s="607" t="s">
        <v>97</v>
      </c>
      <c r="W5" s="608" t="s">
        <v>98</v>
      </c>
      <c r="X5" s="52"/>
      <c r="Y5" s="105" t="s">
        <v>500</v>
      </c>
      <c r="Z5" s="48"/>
      <c r="AA5" s="820"/>
      <c r="AB5" s="36"/>
      <c r="AC5" s="45" t="s">
        <v>128</v>
      </c>
      <c r="AD5" s="41"/>
      <c r="AE5" s="38"/>
      <c r="AF5" s="2"/>
      <c r="AG5" s="607" t="s">
        <v>96</v>
      </c>
      <c r="AH5" s="607" t="s">
        <v>97</v>
      </c>
      <c r="AI5" s="608" t="s">
        <v>98</v>
      </c>
    </row>
    <row r="6" spans="1:35" s="51" customFormat="1" ht="15.75">
      <c r="A6" s="584" t="s">
        <v>13</v>
      </c>
      <c r="B6" s="585">
        <f t="shared" ref="B6:B8" si="0">VLOOKUP(A6,Macronutrients,14,FALSE)</f>
        <v>0</v>
      </c>
      <c r="C6" s="586">
        <f t="shared" ref="C6:C8" si="1">VLOOKUP(A6,Macronutrients,18,FALSE)</f>
        <v>0</v>
      </c>
      <c r="D6" s="585">
        <f t="shared" ref="D6:D8" si="2">VLOOKUP(A6,Macronutrients,16,FALSE)</f>
        <v>1</v>
      </c>
      <c r="E6" s="587">
        <v>0</v>
      </c>
      <c r="F6" s="588">
        <f t="shared" ref="F6:F8" si="3">VLOOKUP(A6,Macronutrients,15,FALSE)</f>
        <v>0</v>
      </c>
      <c r="G6" s="736">
        <f t="shared" ref="G6:G8" si="4">(E6*VLOOKUP(A6,Macronutrients,14,FALSE)/D6)*C6</f>
        <v>0</v>
      </c>
      <c r="H6" s="2"/>
      <c r="I6" s="725">
        <f>VLOOKUP(A6,Macronutrients,2,FALSE)*E6+VLOOKUP(A7,Macronutrients,2,FALSE)*E7+VLOOKUP(A8,Macronutrients,2,FALSE)*E8+VLOOKUP(A11,Micronutrients,2,FALSE)*E11+VLOOKUP(A12,Micronutrients,2,FALSE)*E12+VLOOKUP(A13,Micronutrients,2,FALSE)*E13</f>
        <v>0</v>
      </c>
      <c r="J6" s="589">
        <f>VLOOKUP(A6,Macronutrients,3,FALSE)*E6+VLOOKUP(A7,Macronutrients,3,FALSE)*E7+VLOOKUP(A8,Macronutrients,3,FALSE)*E8+VLOOKUP(A11,Micronutrients,3,FALSE)*E11+VLOOKUP(A12,Micronutrients,3,FALSE)*E12+VLOOKUP(A13,Micronutrients,3,FALSE)*E13</f>
        <v>0</v>
      </c>
      <c r="K6" s="590">
        <f>VLOOKUP(A6,Macronutrients,4,FALSE)*E6+VLOOKUP(A7,Macronutrients,4,FALSE)*E7+VLOOKUP(A8,Macronutrients,4,FALSE)*E8+VLOOKUP(A11,Micronutrients,4,FALSE)*E11+VLOOKUP(A12,Micronutrients,4,FALSE)*E12+VLOOKUP(A13,Micronutrients,4,FALSE)*E13</f>
        <v>0</v>
      </c>
      <c r="M6" s="584" t="s">
        <v>13</v>
      </c>
      <c r="N6" s="585">
        <f t="shared" ref="N6:N8" si="5">VLOOKUP(M6,Macronutrients,14,FALSE)</f>
        <v>0</v>
      </c>
      <c r="O6" s="586">
        <f t="shared" ref="O6:O8" si="6">VLOOKUP(M6,Macronutrients,18,FALSE)</f>
        <v>0</v>
      </c>
      <c r="P6" s="585">
        <f t="shared" ref="P6:P8" si="7">VLOOKUP(M6,Macronutrients,16,FALSE)</f>
        <v>1</v>
      </c>
      <c r="Q6" s="587">
        <v>0</v>
      </c>
      <c r="R6" s="588">
        <f t="shared" ref="R6:R8" si="8">VLOOKUP(M6,Macronutrients,15,FALSE)</f>
        <v>0</v>
      </c>
      <c r="S6" s="736">
        <f t="shared" ref="S6:S7" si="9">(Q6*VLOOKUP(M6,Macronutrients,14,FALSE)/P6)*O6</f>
        <v>0</v>
      </c>
      <c r="T6" s="2"/>
      <c r="U6" s="725">
        <f>VLOOKUP(M6,Macronutrients,2,FALSE)*Q6+VLOOKUP(M7,Macronutrients,2,FALSE)*Q7+VLOOKUP(M8,Macronutrients,2,FALSE)*Q8+VLOOKUP(M11,Micronutrients,2,FALSE)*Q11+VLOOKUP(M12,Micronutrients,2,FALSE)*Q12+VLOOKUP(M13,Micronutrients,2,FALSE)*Q13</f>
        <v>0</v>
      </c>
      <c r="V6" s="589">
        <f>VLOOKUP(M6,Macronutrients,3,FALSE)*Q6+VLOOKUP(M7,Macronutrients,3,FALSE)*Q7+VLOOKUP(M8,Macronutrients,3,FALSE)*Q8+VLOOKUP(M11,Micronutrients,3,FALSE)*Q11+VLOOKUP(M12,Micronutrients,3,FALSE)*Q12+VLOOKUP(M13,Micronutrients,3,FALSE)*Q13</f>
        <v>0</v>
      </c>
      <c r="W6" s="590">
        <f>VLOOKUP(M6,Macronutrients,4,FALSE)*Q6+VLOOKUP(M7,Macronutrients,4,FALSE)*Q7+VLOOKUP(M8,Macronutrients,4,FALSE)*Q8+VLOOKUP(M11,Micronutrients,4,FALSE)*Q11+VLOOKUP(M12,Micronutrients,4,FALSE)*Q12+VLOOKUP(M13,Micronutrients,4,FALSE)*Q13</f>
        <v>0</v>
      </c>
      <c r="X6" s="591"/>
      <c r="Y6" s="584" t="s">
        <v>13</v>
      </c>
      <c r="Z6" s="585">
        <f t="shared" ref="Z6:Z8" si="10">VLOOKUP(Y6,Macronutrients,14,FALSE)</f>
        <v>0</v>
      </c>
      <c r="AA6" s="586">
        <f t="shared" ref="AA6:AA8" si="11">VLOOKUP(Y6,Macronutrients,18,FALSE)</f>
        <v>0</v>
      </c>
      <c r="AB6" s="585">
        <f t="shared" ref="AB6:AB8" si="12">VLOOKUP(Y6,Macronutrients,16,FALSE)</f>
        <v>1</v>
      </c>
      <c r="AC6" s="587">
        <v>0</v>
      </c>
      <c r="AD6" s="588">
        <f t="shared" ref="AD6:AD8" si="13">VLOOKUP(Y6,Macronutrients,15,FALSE)</f>
        <v>0</v>
      </c>
      <c r="AE6" s="736">
        <f t="shared" ref="AE6:AE8" si="14">(AC6*VLOOKUP(Y6,Macronutrients,14,FALSE)/AB6)*AA6</f>
        <v>0</v>
      </c>
      <c r="AF6" s="2"/>
      <c r="AG6" s="725">
        <f>VLOOKUP(Y6,Macronutrients,2,FALSE)*AC6+VLOOKUP(Y7,Macronutrients,2,FALSE)*AC7+VLOOKUP(Y8,Macronutrients,2,FALSE)*AC8+VLOOKUP(Y11,Micronutrients,2,FALSE)*AC11+VLOOKUP(Y12,Micronutrients,2,FALSE)*AC12+VLOOKUP(Y13,Micronutrients,2,FALSE)*AC13</f>
        <v>0</v>
      </c>
      <c r="AH6" s="589">
        <f>VLOOKUP(Y6,Macronutrients,3,FALSE)*AC6+VLOOKUP(Y7,Macronutrients,3,FALSE)*AC7+VLOOKUP(Y8,Macronutrients,3,FALSE)*AC8+VLOOKUP(Y11,Micronutrients,3,FALSE)*AC11+VLOOKUP(Y12,Micronutrients,3,FALSE)*AC12+VLOOKUP(Y13,Micronutrients,3,FALSE)*AC13</f>
        <v>0</v>
      </c>
      <c r="AI6" s="590">
        <f>VLOOKUP(Y6,Macronutrients,4,FALSE)*AC6+VLOOKUP(Y7,Macronutrients,4,FALSE)*AC7+VLOOKUP(Y8,Macronutrients,4,FALSE)*AC8+VLOOKUP(Y11,Micronutrients,4,FALSE)*AC11+VLOOKUP(Y12,Micronutrients,4,FALSE)*AC12+VLOOKUP(Y13,Micronutrients,4,FALSE)*AC13</f>
        <v>0</v>
      </c>
    </row>
    <row r="7" spans="1:35" s="51" customFormat="1" ht="15.75">
      <c r="A7" s="584" t="s">
        <v>13</v>
      </c>
      <c r="B7" s="585">
        <f t="shared" si="0"/>
        <v>0</v>
      </c>
      <c r="C7" s="586">
        <f t="shared" si="1"/>
        <v>0</v>
      </c>
      <c r="D7" s="585">
        <f t="shared" si="2"/>
        <v>1</v>
      </c>
      <c r="E7" s="587">
        <v>0</v>
      </c>
      <c r="F7" s="588">
        <f t="shared" si="3"/>
        <v>0</v>
      </c>
      <c r="G7" s="736">
        <f t="shared" si="4"/>
        <v>0</v>
      </c>
      <c r="H7" s="2"/>
      <c r="I7" s="592"/>
      <c r="J7" s="592"/>
      <c r="K7" s="593"/>
      <c r="M7" s="584" t="s">
        <v>13</v>
      </c>
      <c r="N7" s="585">
        <f t="shared" si="5"/>
        <v>0</v>
      </c>
      <c r="O7" s="586">
        <f t="shared" si="6"/>
        <v>0</v>
      </c>
      <c r="P7" s="585">
        <f t="shared" si="7"/>
        <v>1</v>
      </c>
      <c r="Q7" s="587">
        <v>0</v>
      </c>
      <c r="R7" s="588">
        <f t="shared" si="8"/>
        <v>0</v>
      </c>
      <c r="S7" s="736">
        <f t="shared" si="9"/>
        <v>0</v>
      </c>
      <c r="T7" s="2"/>
      <c r="U7" s="592"/>
      <c r="V7" s="592"/>
      <c r="W7" s="593"/>
      <c r="X7" s="201"/>
      <c r="Y7" s="584" t="s">
        <v>13</v>
      </c>
      <c r="Z7" s="585">
        <f t="shared" si="10"/>
        <v>0</v>
      </c>
      <c r="AA7" s="586">
        <f t="shared" si="11"/>
        <v>0</v>
      </c>
      <c r="AB7" s="585">
        <f t="shared" si="12"/>
        <v>1</v>
      </c>
      <c r="AC7" s="587">
        <v>0</v>
      </c>
      <c r="AD7" s="588">
        <f t="shared" si="13"/>
        <v>0</v>
      </c>
      <c r="AE7" s="736">
        <f t="shared" si="14"/>
        <v>0</v>
      </c>
      <c r="AF7" s="2"/>
      <c r="AG7" s="592"/>
      <c r="AH7" s="592"/>
      <c r="AI7" s="593"/>
    </row>
    <row r="8" spans="1:35" s="51" customFormat="1" ht="15.75">
      <c r="A8" s="584" t="s">
        <v>13</v>
      </c>
      <c r="B8" s="585">
        <f t="shared" si="0"/>
        <v>0</v>
      </c>
      <c r="C8" s="586">
        <f t="shared" si="1"/>
        <v>0</v>
      </c>
      <c r="D8" s="585">
        <f t="shared" si="2"/>
        <v>1</v>
      </c>
      <c r="E8" s="587">
        <v>0</v>
      </c>
      <c r="F8" s="588">
        <f t="shared" si="3"/>
        <v>0</v>
      </c>
      <c r="G8" s="736">
        <f t="shared" si="4"/>
        <v>0</v>
      </c>
      <c r="H8" s="2"/>
      <c r="I8" s="607" t="s">
        <v>99</v>
      </c>
      <c r="J8" s="607" t="s">
        <v>100</v>
      </c>
      <c r="K8" s="608" t="s">
        <v>101</v>
      </c>
      <c r="M8" s="584" t="s">
        <v>13</v>
      </c>
      <c r="N8" s="585">
        <f t="shared" si="5"/>
        <v>0</v>
      </c>
      <c r="O8" s="586">
        <f t="shared" si="6"/>
        <v>0</v>
      </c>
      <c r="P8" s="585">
        <f t="shared" si="7"/>
        <v>1</v>
      </c>
      <c r="Q8" s="587">
        <v>0</v>
      </c>
      <c r="R8" s="588">
        <f t="shared" si="8"/>
        <v>0</v>
      </c>
      <c r="S8" s="736">
        <f>(Q8*VLOOKUP(M8,Macronutrients,14,FALSE)/P8)*O8</f>
        <v>0</v>
      </c>
      <c r="T8" s="2"/>
      <c r="U8" s="607" t="s">
        <v>99</v>
      </c>
      <c r="V8" s="607" t="s">
        <v>100</v>
      </c>
      <c r="W8" s="608" t="s">
        <v>101</v>
      </c>
      <c r="X8" s="594"/>
      <c r="Y8" s="584" t="s">
        <v>13</v>
      </c>
      <c r="Z8" s="585">
        <f t="shared" si="10"/>
        <v>0</v>
      </c>
      <c r="AA8" s="586">
        <f t="shared" si="11"/>
        <v>0</v>
      </c>
      <c r="AB8" s="585">
        <f t="shared" si="12"/>
        <v>1</v>
      </c>
      <c r="AC8" s="587">
        <v>0</v>
      </c>
      <c r="AD8" s="588">
        <f t="shared" si="13"/>
        <v>0</v>
      </c>
      <c r="AE8" s="736">
        <f t="shared" si="14"/>
        <v>0</v>
      </c>
      <c r="AF8" s="2"/>
      <c r="AG8" s="607" t="s">
        <v>99</v>
      </c>
      <c r="AH8" s="607" t="s">
        <v>100</v>
      </c>
      <c r="AI8" s="608" t="s">
        <v>101</v>
      </c>
    </row>
    <row r="9" spans="1:35" s="51" customFormat="1" ht="15.75">
      <c r="A9" s="595"/>
      <c r="B9" s="38"/>
      <c r="C9" s="586"/>
      <c r="D9" s="588"/>
      <c r="E9" s="111"/>
      <c r="F9" s="588"/>
      <c r="G9" s="736"/>
      <c r="H9" s="2"/>
      <c r="I9" s="589">
        <f>VLOOKUP(A6,Macronutrients,5,FALSE)*E6+VLOOKUP(A7,Macronutrients,5,FALSE)*E7+VLOOKUP(A8,Macronutrients,5,FALSE)*E8+VLOOKUP(A11,Micronutrients,5,FALSE)*E11+VLOOKUP(A12,Micronutrients,5,FALSE)*E12+VLOOKUP(A13,Micronutrients,5,FALSE)*E13</f>
        <v>0</v>
      </c>
      <c r="J9" s="589">
        <f>VLOOKUP(A6,Macronutrients,7,FALSE)*E6+VLOOKUP(A7,Macronutrients,7,FALSE)*E7+VLOOKUP(A8,Macronutrients,7,FALSE)*E8+VLOOKUP(A11,Micronutrients,7,FALSE)*E11+VLOOKUP(A12,Micronutrients,7,FALSE)*E12+VLOOKUP(A13,Micronutrients,7,FALSE)*E13</f>
        <v>0</v>
      </c>
      <c r="K9" s="590">
        <f>VLOOKUP($A6,Macronutrients,6,FALSE)*$E$6+VLOOKUP($A7,Macronutrients,6,FALSE)*$E$7+VLOOKUP($A8,Macronutrients,6,FALSE)*$E$8+VLOOKUP($A11,Micronutrients,6,FALSE)*$E$11+VLOOKUP($A12,Micronutrients,6,FALSE)*E12+VLOOKUP($A13,Micronutrients,6,FALSE)*$E$13</f>
        <v>0</v>
      </c>
      <c r="M9" s="595"/>
      <c r="N9" s="38"/>
      <c r="O9" s="586"/>
      <c r="P9" s="588"/>
      <c r="Q9" s="111"/>
      <c r="R9" s="588"/>
      <c r="S9" s="736"/>
      <c r="T9" s="2"/>
      <c r="U9" s="589">
        <f>VLOOKUP(M6,Macronutrients,5,FALSE)*Q6+VLOOKUP(M7,Macronutrients,5,FALSE)*Q7+VLOOKUP(M8,Macronutrients,5,FALSE)*Q8+VLOOKUP(M11,Micronutrients,5,FALSE)*Q11+VLOOKUP(M12,Micronutrients,5,FALSE)*Q12+VLOOKUP(M13,Micronutrients,5,FALSE)*Q13</f>
        <v>0</v>
      </c>
      <c r="V9" s="589">
        <f>VLOOKUP(M6,Macronutrients,7,FALSE)*Q6+VLOOKUP(M7,Macronutrients,7,FALSE)*Q7+VLOOKUP(M8,Macronutrients,7,FALSE)*Q8+VLOOKUP(M11,Micronutrients,7,FALSE)*Q11+VLOOKUP(M12,Micronutrients,7,FALSE)*Q12+VLOOKUP(M13,Micronutrients,7,FALSE)*Q13</f>
        <v>0</v>
      </c>
      <c r="W9" s="590">
        <f>VLOOKUP($A6,Macronutrients,6,FALSE)*$E$6+VLOOKUP($A7,Macronutrients,6,FALSE)*$E$7+VLOOKUP($A8,Macronutrients,6,FALSE)*$E$8+VLOOKUP($A11,Micronutrients,6,FALSE)*$E$11+VLOOKUP($A12,Micronutrients,6,FALSE)*Q12+VLOOKUP($A13,Micronutrients,6,FALSE)*$E$13</f>
        <v>0</v>
      </c>
      <c r="X9" s="591"/>
      <c r="Y9" s="595"/>
      <c r="Z9" s="38"/>
      <c r="AA9" s="586"/>
      <c r="AB9" s="588"/>
      <c r="AC9" s="111"/>
      <c r="AD9" s="588"/>
      <c r="AE9" s="736"/>
      <c r="AF9" s="2"/>
      <c r="AG9" s="589">
        <f>VLOOKUP(Y6,Macronutrients,5,FALSE)*AC6+VLOOKUP(Y7,Macronutrients,5,FALSE)*AC7+VLOOKUP(Y8,Macronutrients,5,FALSE)*AC8+VLOOKUP(Y11,Micronutrients,5,FALSE)*AC11+VLOOKUP(Y12,Micronutrients,5,FALSE)*AC12+VLOOKUP(Y13,Micronutrients,5,FALSE)*AC13</f>
        <v>0</v>
      </c>
      <c r="AH9" s="589">
        <f>VLOOKUP(Y6,Macronutrients,7,FALSE)*AC6+VLOOKUP(Y7,Macronutrients,7,FALSE)*AC7+VLOOKUP(Y8,Macronutrients,7,FALSE)*AC8+VLOOKUP(Y11,Micronutrients,7,FALSE)*AC11+VLOOKUP(Y12,Micronutrients,7,FALSE)*AC12+VLOOKUP(Y13,Micronutrients,7,FALSE)*AC13</f>
        <v>0</v>
      </c>
      <c r="AI9" s="590">
        <f>VLOOKUP($A6,Macronutrients,6,FALSE)*$E$6+VLOOKUP($A7,Macronutrients,6,FALSE)*$E$7+VLOOKUP($A8,Macronutrients,6,FALSE)*$E$8+VLOOKUP($A11,Micronutrients,6,FALSE)*$E$11+VLOOKUP($A12,Micronutrients,6,FALSE)*AC12+VLOOKUP($A13,Micronutrients,6,FALSE)*$E$13</f>
        <v>0</v>
      </c>
    </row>
    <row r="10" spans="1:35" s="51" customFormat="1" ht="15.75">
      <c r="A10" s="105" t="s">
        <v>501</v>
      </c>
      <c r="B10" s="821"/>
      <c r="C10" s="586"/>
      <c r="D10" s="821"/>
      <c r="E10" s="596"/>
      <c r="F10" s="48"/>
      <c r="G10" s="736"/>
      <c r="H10" s="2"/>
      <c r="I10" s="592"/>
      <c r="J10" s="592"/>
      <c r="K10" s="593"/>
      <c r="M10" s="105" t="s">
        <v>501</v>
      </c>
      <c r="N10" s="821"/>
      <c r="O10" s="586"/>
      <c r="P10" s="821"/>
      <c r="Q10" s="596"/>
      <c r="R10" s="48"/>
      <c r="S10" s="736"/>
      <c r="T10" s="2"/>
      <c r="U10" s="592"/>
      <c r="V10" s="592"/>
      <c r="W10" s="593"/>
      <c r="X10" s="201"/>
      <c r="Y10" s="105" t="s">
        <v>501</v>
      </c>
      <c r="Z10" s="821"/>
      <c r="AA10" s="586"/>
      <c r="AB10" s="821"/>
      <c r="AC10" s="596"/>
      <c r="AD10" s="48"/>
      <c r="AE10" s="736"/>
      <c r="AF10" s="2"/>
      <c r="AG10" s="592"/>
      <c r="AH10" s="592"/>
      <c r="AI10" s="593"/>
    </row>
    <row r="11" spans="1:35" s="51" customFormat="1" ht="15.75">
      <c r="A11" s="584" t="s">
        <v>13</v>
      </c>
      <c r="B11" s="585">
        <f>VLOOKUP($A11,Micronutrients,14,FALSE)</f>
        <v>0</v>
      </c>
      <c r="C11" s="586">
        <f>VLOOKUP(A11,Micronutrients,18,FALSE)</f>
        <v>0</v>
      </c>
      <c r="D11" s="585">
        <f>VLOOKUP(A11,Micronutrients,16,FALSE)</f>
        <v>1</v>
      </c>
      <c r="E11" s="587">
        <v>0</v>
      </c>
      <c r="F11" s="588">
        <f>VLOOKUP(A11,Micronutrients,15,FALSE)</f>
        <v>0</v>
      </c>
      <c r="G11" s="736">
        <f>(E11*VLOOKUP(A11,Micronutrients,14,FALSE)/D11)*C11</f>
        <v>0</v>
      </c>
      <c r="H11" s="2"/>
      <c r="I11" s="607" t="s">
        <v>102</v>
      </c>
      <c r="J11" s="607" t="s">
        <v>103</v>
      </c>
      <c r="K11" s="608" t="s">
        <v>104</v>
      </c>
      <c r="M11" s="584" t="s">
        <v>13</v>
      </c>
      <c r="N11" s="585">
        <f>VLOOKUP($A11,Micronutrients,14,FALSE)</f>
        <v>0</v>
      </c>
      <c r="O11" s="586">
        <f>VLOOKUP(M11,Micronutrients,18,FALSE)</f>
        <v>0</v>
      </c>
      <c r="P11" s="585">
        <f>VLOOKUP(M11,Micronutrients,16,FALSE)</f>
        <v>1</v>
      </c>
      <c r="Q11" s="587">
        <v>0</v>
      </c>
      <c r="R11" s="588">
        <f>VLOOKUP(M11,Micronutrients,15,FALSE)</f>
        <v>0</v>
      </c>
      <c r="S11" s="736">
        <f>(Q11*VLOOKUP(M11,Micronutrients,14,FALSE)/P11)*O11</f>
        <v>0</v>
      </c>
      <c r="T11" s="2"/>
      <c r="U11" s="607" t="s">
        <v>102</v>
      </c>
      <c r="V11" s="607" t="s">
        <v>103</v>
      </c>
      <c r="W11" s="608" t="s">
        <v>104</v>
      </c>
      <c r="X11" s="594"/>
      <c r="Y11" s="584" t="s">
        <v>13</v>
      </c>
      <c r="Z11" s="585">
        <f>VLOOKUP($A11,Micronutrients,14,FALSE)</f>
        <v>0</v>
      </c>
      <c r="AA11" s="586">
        <f>VLOOKUP(Y11,Micronutrients,18,FALSE)</f>
        <v>0</v>
      </c>
      <c r="AB11" s="585">
        <f>VLOOKUP(Y11,Micronutrients,16,FALSE)</f>
        <v>1</v>
      </c>
      <c r="AC11" s="587">
        <v>0</v>
      </c>
      <c r="AD11" s="588">
        <f>VLOOKUP(Y11,Micronutrients,15,FALSE)</f>
        <v>0</v>
      </c>
      <c r="AE11" s="736">
        <f>(AC11*VLOOKUP(Y11,Micronutrients,14,FALSE)/AB11)*AA11</f>
        <v>0</v>
      </c>
      <c r="AF11" s="2"/>
      <c r="AG11" s="607" t="s">
        <v>102</v>
      </c>
      <c r="AH11" s="607" t="s">
        <v>103</v>
      </c>
      <c r="AI11" s="608" t="s">
        <v>104</v>
      </c>
    </row>
    <row r="12" spans="1:35" s="51" customFormat="1" ht="15.75">
      <c r="A12" s="584" t="s">
        <v>13</v>
      </c>
      <c r="B12" s="585">
        <f>VLOOKUP($A12,Micronutrients,14,FALSE)</f>
        <v>0</v>
      </c>
      <c r="C12" s="586">
        <f>VLOOKUP(A12,Micronutrients,18,FALSE)</f>
        <v>0</v>
      </c>
      <c r="D12" s="585">
        <f>VLOOKUP(A12,Micronutrients,16,FALSE)</f>
        <v>1</v>
      </c>
      <c r="E12" s="587">
        <v>0</v>
      </c>
      <c r="F12" s="588">
        <f>VLOOKUP(A12,Micronutrients,15,FALSE)</f>
        <v>0</v>
      </c>
      <c r="G12" s="736">
        <f>(E12*VLOOKUP(A12,Micronutrients,14,FALSE)/D12)*C12</f>
        <v>0</v>
      </c>
      <c r="H12" s="2"/>
      <c r="I12" s="722">
        <f>VLOOKUP(A6,Macronutrients,8,FALSE)*E6+VLOOKUP(A7,Macronutrients,8,FALSE)*E7+VLOOKUP(A8,Macronutrients,8,FALSE)*E8+VLOOKUP(A11,Micronutrients,8,FALSE)*E11+VLOOKUP(A12,Micronutrients,8,FALSE)*E12+VLOOKUP(A13,Micronutrients,8,FALSE)*E13</f>
        <v>0</v>
      </c>
      <c r="J12" s="722">
        <f>VLOOKUP(A6,Macronutrients,9,FALSE)*E6+VLOOKUP(A7,Macronutrients,9,FALSE)*E7+VLOOKUP(A8,Macronutrients,9,FALSE)*E8+VLOOKUP(A11,Micronutrients,9,FALSE)*E11+VLOOKUP(A12,Micronutrients,9,FALSE)*E12+VLOOKUP(A13,Micronutrients,9,FALSE)*E13</f>
        <v>0</v>
      </c>
      <c r="K12" s="723">
        <f>VLOOKUP(A6,Macronutrients,10,FALSE)*E6+VLOOKUP(A7,Macronutrients,10,FALSE)*E7+VLOOKUP(A8,Macronutrients,10,FALSE)*E8+VLOOKUP(A11,Micronutrients,10,FALSE)*E11+VLOOKUP(A12,Micronutrients,10,FALSE)*E12+VLOOKUP(A13,Micronutrients,10,FALSE)*E13</f>
        <v>0</v>
      </c>
      <c r="M12" s="584" t="s">
        <v>13</v>
      </c>
      <c r="N12" s="585">
        <f>VLOOKUP($A12,Micronutrients,14,FALSE)</f>
        <v>0</v>
      </c>
      <c r="O12" s="586">
        <f>VLOOKUP(M12,Micronutrients,18,FALSE)</f>
        <v>0</v>
      </c>
      <c r="P12" s="585">
        <f>VLOOKUP(M12,Micronutrients,16,FALSE)</f>
        <v>1</v>
      </c>
      <c r="Q12" s="587">
        <v>0</v>
      </c>
      <c r="R12" s="588">
        <f>VLOOKUP(M12,Micronutrients,15,FALSE)</f>
        <v>0</v>
      </c>
      <c r="S12" s="736">
        <f>(Q12*VLOOKUP(M12,Micronutrients,14,FALSE)/P12)*O12</f>
        <v>0</v>
      </c>
      <c r="T12" s="2"/>
      <c r="U12" s="722">
        <f>VLOOKUP(M6,Macronutrients,8,FALSE)*Q6+VLOOKUP(M7,Macronutrients,8,FALSE)*Q7+VLOOKUP(M8,Macronutrients,8,FALSE)*Q8+VLOOKUP(M11,Micronutrients,8,FALSE)*Q11+VLOOKUP(M12,Micronutrients,8,FALSE)*Q12+VLOOKUP(M13,Micronutrients,8,FALSE)*Q13</f>
        <v>0</v>
      </c>
      <c r="V12" s="722">
        <f>VLOOKUP(M6,Macronutrients,9,FALSE)*Q6+VLOOKUP(M7,Macronutrients,9,FALSE)*Q7+VLOOKUP(M8,Macronutrients,9,FALSE)*Q8+VLOOKUP(M11,Micronutrients,9,FALSE)*Q11+VLOOKUP(M12,Micronutrients,9,FALSE)*Q12+VLOOKUP(M13,Micronutrients,9,FALSE)*Q13</f>
        <v>0</v>
      </c>
      <c r="W12" s="723">
        <f>VLOOKUP(M6,Macronutrients,10,FALSE)*Q6+VLOOKUP(M7,Macronutrients,10,FALSE)*Q7+VLOOKUP(M8,Macronutrients,10,FALSE)*Q8+VLOOKUP(M11,Micronutrients,10,FALSE)*Q11+VLOOKUP(M12,Micronutrients,10,FALSE)*Q12+VLOOKUP(M13,Micronutrients,10,FALSE)*Q13</f>
        <v>0</v>
      </c>
      <c r="X12" s="597"/>
      <c r="Y12" s="584" t="s">
        <v>13</v>
      </c>
      <c r="Z12" s="585">
        <f>VLOOKUP($A12,Micronutrients,14,FALSE)</f>
        <v>0</v>
      </c>
      <c r="AA12" s="586">
        <f>VLOOKUP(Y12,Micronutrients,18,FALSE)</f>
        <v>0</v>
      </c>
      <c r="AB12" s="585">
        <f>VLOOKUP(Y12,Micronutrients,16,FALSE)</f>
        <v>1</v>
      </c>
      <c r="AC12" s="587">
        <v>0</v>
      </c>
      <c r="AD12" s="588">
        <f>VLOOKUP(Y12,Micronutrients,15,FALSE)</f>
        <v>0</v>
      </c>
      <c r="AE12" s="736">
        <f>(AC12*VLOOKUP(Y12,Micronutrients,14,FALSE)/AB12)*AA12</f>
        <v>0</v>
      </c>
      <c r="AF12" s="2"/>
      <c r="AG12" s="722">
        <f>VLOOKUP(Y6,Macronutrients,8,FALSE)*AC6+VLOOKUP(Y7,Macronutrients,8,FALSE)*AC7+VLOOKUP(Y8,Macronutrients,8,FALSE)*AC8+VLOOKUP(Y11,Micronutrients,8,FALSE)*AC11+VLOOKUP(Y12,Micronutrients,8,FALSE)*AC12+VLOOKUP(Y13,Micronutrients,8,FALSE)*AC13</f>
        <v>0</v>
      </c>
      <c r="AH12" s="722">
        <f>VLOOKUP(Y6,Macronutrients,9,FALSE)*AC6+VLOOKUP(Y7,Macronutrients,9,FALSE)*AC7+VLOOKUP(Y8,Macronutrients,9,FALSE)*AC8+VLOOKUP(Y11,Micronutrients,9,FALSE)*AC11+VLOOKUP(Y12,Micronutrients,9,FALSE)*AC12+VLOOKUP(Y13,Micronutrients,9,FALSE)*AC13</f>
        <v>0</v>
      </c>
      <c r="AI12" s="723">
        <f>VLOOKUP(Y6,Macronutrients,10,FALSE)*AC6+VLOOKUP(Y7,Macronutrients,10,FALSE)*AC7+VLOOKUP(Y8,Macronutrients,10,FALSE)*AC8+VLOOKUP(Y11,Micronutrients,10,FALSE)*AC11+VLOOKUP(Y12,Micronutrients,10,FALSE)*AC12+VLOOKUP(Y13,Micronutrients,10,FALSE)*AC13</f>
        <v>0</v>
      </c>
    </row>
    <row r="13" spans="1:35" s="51" customFormat="1" ht="15.75">
      <c r="A13" s="584" t="s">
        <v>13</v>
      </c>
      <c r="B13" s="585">
        <f>VLOOKUP($A13,Micronutrients,14,FALSE)</f>
        <v>0</v>
      </c>
      <c r="C13" s="586">
        <f>VLOOKUP(A13,Micronutrients,18,FALSE)</f>
        <v>0</v>
      </c>
      <c r="D13" s="585">
        <f>VLOOKUP(A13,Micronutrients,16,FALSE)</f>
        <v>1</v>
      </c>
      <c r="E13" s="587">
        <v>0</v>
      </c>
      <c r="F13" s="588">
        <f>VLOOKUP(A13,Micronutrients,15,FALSE)</f>
        <v>0</v>
      </c>
      <c r="G13" s="736">
        <f>(E13*VLOOKUP(A13,Micronutrients,14,FALSE)/D13)*C13</f>
        <v>0</v>
      </c>
      <c r="H13" s="2"/>
      <c r="I13" s="2"/>
      <c r="J13" s="2"/>
      <c r="K13" s="49"/>
      <c r="M13" s="584" t="s">
        <v>13</v>
      </c>
      <c r="N13" s="585">
        <f>VLOOKUP($A13,Micronutrients,14,FALSE)</f>
        <v>0</v>
      </c>
      <c r="O13" s="586">
        <f>VLOOKUP(M13,Micronutrients,18,FALSE)</f>
        <v>0</v>
      </c>
      <c r="P13" s="585">
        <f>VLOOKUP(M13,Micronutrients,16,FALSE)</f>
        <v>1</v>
      </c>
      <c r="Q13" s="587">
        <v>0</v>
      </c>
      <c r="R13" s="588">
        <f>VLOOKUP(M13,Micronutrients,15,FALSE)</f>
        <v>0</v>
      </c>
      <c r="S13" s="736">
        <f>(Q13*VLOOKUP(M13,Micronutrients,14,FALSE)/P13)*O13</f>
        <v>0</v>
      </c>
      <c r="T13" s="2"/>
      <c r="U13" s="2"/>
      <c r="V13" s="2"/>
      <c r="W13" s="49"/>
      <c r="Y13" s="584" t="s">
        <v>13</v>
      </c>
      <c r="Z13" s="585">
        <f>VLOOKUP($A13,Micronutrients,14,FALSE)</f>
        <v>0</v>
      </c>
      <c r="AA13" s="586">
        <f>VLOOKUP(Y13,Micronutrients,18,FALSE)</f>
        <v>0</v>
      </c>
      <c r="AB13" s="585">
        <f>VLOOKUP(Y13,Micronutrients,16,FALSE)</f>
        <v>1</v>
      </c>
      <c r="AC13" s="587">
        <v>0</v>
      </c>
      <c r="AD13" s="588">
        <f>VLOOKUP(Y13,Micronutrients,15,FALSE)</f>
        <v>0</v>
      </c>
      <c r="AE13" s="736">
        <f>(AC13*VLOOKUP(Y13,Micronutrients,14,FALSE)/AB13)*AA13</f>
        <v>0</v>
      </c>
      <c r="AF13" s="2"/>
      <c r="AG13" s="2"/>
      <c r="AH13" s="2"/>
      <c r="AI13" s="49"/>
    </row>
    <row r="14" spans="1:35" s="51" customFormat="1" ht="15.6" customHeight="1">
      <c r="A14" s="595"/>
      <c r="B14" s="821"/>
      <c r="C14" s="586"/>
      <c r="D14" s="821"/>
      <c r="E14" s="596"/>
      <c r="F14" s="588"/>
      <c r="G14" s="736"/>
      <c r="H14" s="2"/>
      <c r="I14" s="607" t="s">
        <v>886</v>
      </c>
      <c r="J14" s="607" t="s">
        <v>887</v>
      </c>
      <c r="K14" s="608" t="s">
        <v>888</v>
      </c>
      <c r="M14" s="595"/>
      <c r="N14" s="821"/>
      <c r="O14" s="586"/>
      <c r="P14" s="821"/>
      <c r="Q14" s="596"/>
      <c r="R14" s="588"/>
      <c r="S14" s="736"/>
      <c r="T14" s="2"/>
      <c r="U14" s="607" t="s">
        <v>886</v>
      </c>
      <c r="V14" s="607" t="s">
        <v>887</v>
      </c>
      <c r="W14" s="608" t="s">
        <v>888</v>
      </c>
      <c r="Y14" s="595"/>
      <c r="Z14" s="821"/>
      <c r="AA14" s="586"/>
      <c r="AB14" s="821"/>
      <c r="AC14" s="596"/>
      <c r="AD14" s="588"/>
      <c r="AE14" s="736"/>
      <c r="AF14" s="2"/>
      <c r="AG14" s="607" t="s">
        <v>886</v>
      </c>
      <c r="AH14" s="607" t="s">
        <v>887</v>
      </c>
      <c r="AI14" s="608" t="s">
        <v>888</v>
      </c>
    </row>
    <row r="15" spans="1:35" s="51" customFormat="1" ht="15.75">
      <c r="A15" s="105" t="s">
        <v>502</v>
      </c>
      <c r="B15" s="822"/>
      <c r="C15" s="823"/>
      <c r="D15" s="822"/>
      <c r="E15" s="824"/>
      <c r="F15" s="588"/>
      <c r="G15" s="736"/>
      <c r="H15" s="2"/>
      <c r="I15" s="722">
        <f>VLOOKUP(A6,Macronutrients,11,FALSE)*E6+VLOOKUP(A7,Macronutrients,11,FALSE)*E7+VLOOKUP(A8,Macronutrients,11,FALSE)*E8+VLOOKUP(A11,Micronutrients,11,FALSE)*E11+VLOOKUP(A12,Micronutrients,11,FALSE)*E12+VLOOKUP(A13,Micronutrients,11,FALSE)*E13+VLOOKUP(A16,Lime,12,FALSE)*E16</f>
        <v>0</v>
      </c>
      <c r="J15" s="722">
        <f>VLOOKUP(A6,Macronutrients,12,FALSE)*E6+VLOOKUP(A7,Macronutrients,12,FALSE)*E7+VLOOKUP(A8,Macronutrients,12,FALSE)*E8+VLOOKUP(A11,Micronutrients,12,FALSE)*E11+VLOOKUP(A12,Micronutrients,12,FALSE)*E12+VLOOKUP(A13,Micronutrients,12,FALSE)*E13+VLOOKUP(A16,Lime,12,FALSE)*E16</f>
        <v>0</v>
      </c>
      <c r="K15" s="723">
        <f>VLOOKUP(A6,Macronutrients,13,FALSE)*E6+VLOOKUP(A7,Macronutrients,13,FALSE)*E7+VLOOKUP(A8,Macronutrients,13,FALSE)*E8+VLOOKUP(A11,Micronutrients,13,FALSE)*E11+VLOOKUP(A12,Micronutrients,13,FALSE)*E12+VLOOKUP(A13,Micronutrients,13,FALSE)*E13+VLOOKUP(A16,Lime,13,FALSE)*E16</f>
        <v>0</v>
      </c>
      <c r="M15" s="105" t="s">
        <v>502</v>
      </c>
      <c r="N15" s="822"/>
      <c r="O15" s="823"/>
      <c r="P15" s="822"/>
      <c r="Q15" s="824"/>
      <c r="R15" s="588"/>
      <c r="S15" s="736"/>
      <c r="T15" s="2"/>
      <c r="U15" s="722">
        <f>VLOOKUP(M6,Macronutrients,11,FALSE)*Q6+VLOOKUP(M7,Macronutrients,11,FALSE)*Q7+VLOOKUP(M8,Macronutrients,11,FALSE)*Q8+VLOOKUP(M11,Micronutrients,11,FALSE)*Q11+VLOOKUP(M12,Micronutrients,11,FALSE)*Q12+VLOOKUP(M13,Micronutrients,11,FALSE)*Q13+VLOOKUP(M16,Lime,12,FALSE)*Q16</f>
        <v>0</v>
      </c>
      <c r="V15" s="722">
        <f>VLOOKUP(M6,Macronutrients,12,FALSE)*Q6+VLOOKUP(M7,Macronutrients,12,FALSE)*Q7+VLOOKUP(M8,Macronutrients,12,FALSE)*Q8+VLOOKUP(M11,Micronutrients,12,FALSE)*Q11+VLOOKUP(M12,Micronutrients,12,FALSE)*Q12+VLOOKUP(M13,Micronutrients,12,FALSE)*Q13+VLOOKUP(M16,Lime,12,FALSE)*Q16</f>
        <v>0</v>
      </c>
      <c r="W15" s="723">
        <f>VLOOKUP(M6,Macronutrients,13,FALSE)*Q6+VLOOKUP(M7,Macronutrients,13,FALSE)*Q7+VLOOKUP(M8,Macronutrients,13,FALSE)*Q8+VLOOKUP(M11,Micronutrients,13,FALSE)*Q11+VLOOKUP(M12,Micronutrients,13,FALSE)*Q12+VLOOKUP(M13,Micronutrients,13,FALSE)*Q13+VLOOKUP(M16,Lime,13,FALSE)*Q16</f>
        <v>0</v>
      </c>
      <c r="Y15" s="105" t="s">
        <v>502</v>
      </c>
      <c r="Z15" s="822"/>
      <c r="AA15" s="823"/>
      <c r="AB15" s="822"/>
      <c r="AC15" s="824"/>
      <c r="AD15" s="588"/>
      <c r="AE15" s="736"/>
      <c r="AF15" s="2"/>
      <c r="AG15" s="722">
        <f>VLOOKUP(Y6,Macronutrients,11,FALSE)*AC6+VLOOKUP(Y7,Macronutrients,11,FALSE)*AC7+VLOOKUP(Y8,Macronutrients,11,FALSE)*AC8+VLOOKUP(Y11,Micronutrients,11,FALSE)*AC11+VLOOKUP(Y12,Micronutrients,11,FALSE)*AC12+VLOOKUP(Y13,Micronutrients,11,FALSE)*AC13+VLOOKUP(Y16,Lime,12,FALSE)*AC16</f>
        <v>0</v>
      </c>
      <c r="AH15" s="722">
        <f>VLOOKUP(Y6,Macronutrients,12,FALSE)*AC6+VLOOKUP(Y7,Macronutrients,12,FALSE)*AC7+VLOOKUP(Y8,Macronutrients,12,FALSE)*AC8+VLOOKUP(Y11,Micronutrients,12,FALSE)*AC11+VLOOKUP(Y12,Micronutrients,12,FALSE)*AC12+VLOOKUP(Y13,Micronutrients,12,FALSE)*AC13+VLOOKUP(Y16,Lime,12,FALSE)*AC16</f>
        <v>0</v>
      </c>
      <c r="AI15" s="723">
        <f>VLOOKUP(Y6,Macronutrients,13,FALSE)*AC6+VLOOKUP(Y7,Macronutrients,13,FALSE)*AC7+VLOOKUP(Y8,Macronutrients,13,FALSE)*AC8+VLOOKUP(Y11,Micronutrients,13,FALSE)*AC11+VLOOKUP(Y12,Micronutrients,13,FALSE)*AC12+VLOOKUP(Y13,Micronutrients,13,FALSE)*AC13+VLOOKUP(Y16,Lime,13,FALSE)*AC16</f>
        <v>0</v>
      </c>
    </row>
    <row r="16" spans="1:35" s="51" customFormat="1" ht="15.75">
      <c r="A16" s="358" t="s">
        <v>13</v>
      </c>
      <c r="B16" s="585">
        <f>VLOOKUP(A16,Lime,14,FALSE)</f>
        <v>0</v>
      </c>
      <c r="C16" s="586">
        <f>VLOOKUP(A16,Lime,18,FALSE)</f>
        <v>0</v>
      </c>
      <c r="D16" s="585">
        <f>VLOOKUP(A16,Lime,16,FALSE)</f>
        <v>1</v>
      </c>
      <c r="E16" s="587">
        <v>0</v>
      </c>
      <c r="F16" s="588">
        <f>VLOOKUP(A16,Lime,15,FALSE)</f>
        <v>0</v>
      </c>
      <c r="G16" s="736">
        <f>(E16*VLOOKUP(A16,Lime,14,FALSE)/D16)*C16</f>
        <v>0</v>
      </c>
      <c r="H16" s="2"/>
      <c r="I16" s="825"/>
      <c r="J16" s="825"/>
      <c r="K16" s="724"/>
      <c r="M16" s="358" t="s">
        <v>13</v>
      </c>
      <c r="N16" s="585">
        <f>VLOOKUP(M16,Lime,14,FALSE)</f>
        <v>0</v>
      </c>
      <c r="O16" s="586">
        <f>VLOOKUP(M16,Lime,18,FALSE)</f>
        <v>0</v>
      </c>
      <c r="P16" s="585">
        <f>VLOOKUP(M16,Lime,16,FALSE)</f>
        <v>1</v>
      </c>
      <c r="Q16" s="587">
        <v>0</v>
      </c>
      <c r="R16" s="588">
        <f>VLOOKUP(M16,Lime,15,FALSE)</f>
        <v>0</v>
      </c>
      <c r="S16" s="736">
        <f>(Q16*VLOOKUP(M16,Lime,14,FALSE)/P16)*O16</f>
        <v>0</v>
      </c>
      <c r="T16" s="2"/>
      <c r="U16" s="825"/>
      <c r="V16" s="825"/>
      <c r="W16" s="724"/>
      <c r="Y16" s="358" t="s">
        <v>13</v>
      </c>
      <c r="Z16" s="585">
        <f>VLOOKUP(Y16,Lime,14,FALSE)</f>
        <v>0</v>
      </c>
      <c r="AA16" s="586">
        <f>VLOOKUP(Y16,Lime,18,FALSE)</f>
        <v>0</v>
      </c>
      <c r="AB16" s="585">
        <f>VLOOKUP(Y16,Lime,16,FALSE)</f>
        <v>1</v>
      </c>
      <c r="AC16" s="587">
        <v>0</v>
      </c>
      <c r="AD16" s="588">
        <f>VLOOKUP(Y16,Lime,15,FALSE)</f>
        <v>0</v>
      </c>
      <c r="AE16" s="736">
        <f>(AC16*VLOOKUP(Y16,Lime,14,FALSE)/AB16)*AA16</f>
        <v>0</v>
      </c>
      <c r="AF16" s="2"/>
      <c r="AG16" s="825"/>
      <c r="AH16" s="825"/>
      <c r="AI16" s="724"/>
    </row>
    <row r="17" spans="1:35" s="51" customFormat="1" ht="15.75">
      <c r="A17" s="595"/>
      <c r="B17" s="821"/>
      <c r="C17" s="586"/>
      <c r="D17" s="821"/>
      <c r="E17" s="596"/>
      <c r="F17" s="48"/>
      <c r="G17" s="736"/>
      <c r="H17" s="2"/>
      <c r="I17" s="2"/>
      <c r="J17" s="2"/>
      <c r="K17" s="49"/>
      <c r="M17" s="595"/>
      <c r="N17" s="821"/>
      <c r="O17" s="586"/>
      <c r="P17" s="821"/>
      <c r="Q17" s="596"/>
      <c r="R17" s="48"/>
      <c r="S17" s="736"/>
      <c r="T17" s="2"/>
      <c r="U17" s="2"/>
      <c r="V17" s="2"/>
      <c r="W17" s="49"/>
      <c r="Y17" s="595"/>
      <c r="Z17" s="821"/>
      <c r="AA17" s="586"/>
      <c r="AB17" s="821"/>
      <c r="AC17" s="596"/>
      <c r="AD17" s="48"/>
      <c r="AE17" s="736"/>
      <c r="AF17" s="2"/>
      <c r="AG17" s="2"/>
      <c r="AH17" s="2"/>
      <c r="AI17" s="49"/>
    </row>
    <row r="18" spans="1:35" s="51" customFormat="1" ht="15.75">
      <c r="A18" s="105" t="s">
        <v>425</v>
      </c>
      <c r="B18" s="822"/>
      <c r="C18" s="823"/>
      <c r="D18" s="822"/>
      <c r="E18" s="824"/>
      <c r="F18" s="106"/>
      <c r="G18" s="826"/>
      <c r="H18" s="2"/>
      <c r="I18" s="2"/>
      <c r="J18" s="2"/>
      <c r="K18" s="49"/>
      <c r="M18" s="105" t="s">
        <v>425</v>
      </c>
      <c r="N18" s="822"/>
      <c r="O18" s="823"/>
      <c r="P18" s="822"/>
      <c r="Q18" s="824"/>
      <c r="R18" s="106"/>
      <c r="S18" s="826"/>
      <c r="T18" s="2"/>
      <c r="U18" s="2"/>
      <c r="V18" s="2"/>
      <c r="W18" s="49"/>
      <c r="Y18" s="105" t="s">
        <v>425</v>
      </c>
      <c r="Z18" s="822"/>
      <c r="AA18" s="823"/>
      <c r="AB18" s="822"/>
      <c r="AC18" s="824"/>
      <c r="AD18" s="106"/>
      <c r="AE18" s="826"/>
      <c r="AF18" s="2"/>
      <c r="AG18" s="2"/>
      <c r="AH18" s="2"/>
      <c r="AI18" s="49"/>
    </row>
    <row r="19" spans="1:35" s="51" customFormat="1" ht="15.75">
      <c r="A19" s="358" t="s">
        <v>13</v>
      </c>
      <c r="B19" s="585">
        <f>VLOOKUP(A19,NitrogenStabilizers,14,FALSE)</f>
        <v>0</v>
      </c>
      <c r="C19" s="586">
        <f>VLOOKUP(A19,NitrogenStabilizers,15,FALSE)</f>
        <v>0</v>
      </c>
      <c r="D19" s="585">
        <f>VLOOKUP(A19,NitrogenStabilizers,16,FALSE)</f>
        <v>1</v>
      </c>
      <c r="E19" s="587">
        <v>0</v>
      </c>
      <c r="F19" s="588">
        <f>VLOOKUP(A19,NitrogenStabilizers,15,FALSE)</f>
        <v>0</v>
      </c>
      <c r="G19" s="736">
        <f>(E19*VLOOKUP(A19,NitrogenStabilizers,14,FALSE)/D19)*C19</f>
        <v>0</v>
      </c>
      <c r="H19" s="2"/>
      <c r="I19" s="2"/>
      <c r="J19" s="2"/>
      <c r="K19" s="49"/>
      <c r="M19" s="358" t="s">
        <v>13</v>
      </c>
      <c r="N19" s="585">
        <f>VLOOKUP(M19,NitrogenStabilizers,14,FALSE)</f>
        <v>0</v>
      </c>
      <c r="O19" s="586">
        <f>VLOOKUP(M19,NitrogenStabilizers,15,FALSE)</f>
        <v>0</v>
      </c>
      <c r="P19" s="585">
        <f>VLOOKUP(M19,NitrogenStabilizers,16,FALSE)</f>
        <v>1</v>
      </c>
      <c r="Q19" s="587">
        <v>0</v>
      </c>
      <c r="R19" s="588">
        <f>VLOOKUP(M19,NitrogenStabilizers,15,FALSE)</f>
        <v>0</v>
      </c>
      <c r="S19" s="736">
        <f>(Q19*VLOOKUP(M19,NitrogenStabilizers,14,FALSE)/P19)*O19</f>
        <v>0</v>
      </c>
      <c r="T19" s="2"/>
      <c r="U19" s="2"/>
      <c r="V19" s="2"/>
      <c r="W19" s="49"/>
      <c r="Y19" s="358" t="s">
        <v>13</v>
      </c>
      <c r="Z19" s="585">
        <f>VLOOKUP(Y19,NitrogenStabilizers,14,FALSE)</f>
        <v>0</v>
      </c>
      <c r="AA19" s="586">
        <f>VLOOKUP(Y19,NitrogenStabilizers,15,FALSE)</f>
        <v>0</v>
      </c>
      <c r="AB19" s="585">
        <f>VLOOKUP(Y19,NitrogenStabilizers,16,FALSE)</f>
        <v>1</v>
      </c>
      <c r="AC19" s="587">
        <v>0</v>
      </c>
      <c r="AD19" s="588">
        <f>VLOOKUP(Y19,NitrogenStabilizers,15,FALSE)</f>
        <v>0</v>
      </c>
      <c r="AE19" s="736">
        <f>(AC19*VLOOKUP(Y19,NitrogenStabilizers,14,FALSE)/AB19)*AA19</f>
        <v>0</v>
      </c>
      <c r="AF19" s="2"/>
      <c r="AG19" s="2"/>
      <c r="AH19" s="2"/>
      <c r="AI19" s="49"/>
    </row>
    <row r="20" spans="1:35" s="51" customFormat="1" ht="15.75">
      <c r="A20" s="358" t="s">
        <v>13</v>
      </c>
      <c r="B20" s="585">
        <f>VLOOKUP(A20,NitrogenStabilizers,14,FALSE)</f>
        <v>0</v>
      </c>
      <c r="C20" s="586">
        <f>VLOOKUP(A20,NitrogenStabilizers,15,FALSE)</f>
        <v>0</v>
      </c>
      <c r="D20" s="585">
        <f>VLOOKUP(A20,NitrogenStabilizers,16,FALSE)</f>
        <v>1</v>
      </c>
      <c r="E20" s="587">
        <v>0</v>
      </c>
      <c r="F20" s="588">
        <f>VLOOKUP(A20,NitrogenStabilizers,15,FALSE)</f>
        <v>0</v>
      </c>
      <c r="G20" s="736">
        <f>(E20*VLOOKUP(A20,NitrogenStabilizers,14,FALSE)/D20)*C20</f>
        <v>0</v>
      </c>
      <c r="H20" s="2"/>
      <c r="I20" s="2"/>
      <c r="J20" s="2"/>
      <c r="K20" s="598" t="s">
        <v>255</v>
      </c>
      <c r="M20" s="358" t="s">
        <v>13</v>
      </c>
      <c r="N20" s="585">
        <f>VLOOKUP(M20,NitrogenStabilizers,14,FALSE)</f>
        <v>0</v>
      </c>
      <c r="O20" s="586">
        <f>VLOOKUP(M20,NitrogenStabilizers,15,FALSE)</f>
        <v>0</v>
      </c>
      <c r="P20" s="585">
        <f>VLOOKUP(M20,NitrogenStabilizers,16,FALSE)</f>
        <v>1</v>
      </c>
      <c r="Q20" s="587">
        <v>0</v>
      </c>
      <c r="R20" s="588">
        <f>VLOOKUP(M20,NitrogenStabilizers,15,FALSE)</f>
        <v>0</v>
      </c>
      <c r="S20" s="736">
        <f>(Q20*VLOOKUP(M20,NitrogenStabilizers,14,FALSE)/P20)*O20</f>
        <v>0</v>
      </c>
      <c r="T20" s="2"/>
      <c r="U20" s="2"/>
      <c r="V20" s="2"/>
      <c r="W20" s="598" t="s">
        <v>255</v>
      </c>
      <c r="Y20" s="358" t="s">
        <v>13</v>
      </c>
      <c r="Z20" s="585">
        <f>VLOOKUP(Y20,NitrogenStabilizers,14,FALSE)</f>
        <v>0</v>
      </c>
      <c r="AA20" s="586">
        <f>VLOOKUP(Y20,NitrogenStabilizers,15,FALSE)</f>
        <v>0</v>
      </c>
      <c r="AB20" s="585">
        <f>VLOOKUP(Y20,NitrogenStabilizers,16,FALSE)</f>
        <v>1</v>
      </c>
      <c r="AC20" s="587">
        <v>0</v>
      </c>
      <c r="AD20" s="588">
        <f>VLOOKUP(Y20,NitrogenStabilizers,15,FALSE)</f>
        <v>0</v>
      </c>
      <c r="AE20" s="736">
        <f>(AC20*VLOOKUP(Y20,NitrogenStabilizers,14,FALSE)/AB20)*AA20</f>
        <v>0</v>
      </c>
      <c r="AF20" s="2"/>
      <c r="AG20" s="2"/>
      <c r="AH20" s="2"/>
      <c r="AI20" s="598" t="s">
        <v>255</v>
      </c>
    </row>
    <row r="21" spans="1:35" s="51" customFormat="1" ht="16.5" thickBot="1">
      <c r="A21" s="599" t="s">
        <v>127</v>
      </c>
      <c r="B21" s="600"/>
      <c r="C21" s="600"/>
      <c r="D21" s="600"/>
      <c r="E21" s="601"/>
      <c r="F21" s="600"/>
      <c r="G21" s="602">
        <f>SUM(G6:G20)</f>
        <v>0</v>
      </c>
      <c r="H21" s="2"/>
      <c r="I21" s="2"/>
      <c r="J21" s="2"/>
      <c r="K21" s="598" t="s">
        <v>256</v>
      </c>
      <c r="M21" s="599" t="s">
        <v>127</v>
      </c>
      <c r="N21" s="600"/>
      <c r="O21" s="600"/>
      <c r="P21" s="600"/>
      <c r="Q21" s="601"/>
      <c r="R21" s="600"/>
      <c r="S21" s="602">
        <f>SUM(S6:S20)</f>
        <v>0</v>
      </c>
      <c r="T21" s="2"/>
      <c r="U21" s="2"/>
      <c r="V21" s="2"/>
      <c r="W21" s="598" t="s">
        <v>256</v>
      </c>
      <c r="Y21" s="599" t="s">
        <v>127</v>
      </c>
      <c r="Z21" s="600"/>
      <c r="AA21" s="600"/>
      <c r="AB21" s="600"/>
      <c r="AC21" s="601"/>
      <c r="AD21" s="600"/>
      <c r="AE21" s="602">
        <f>SUM(AE6:AE20)</f>
        <v>0</v>
      </c>
      <c r="AF21" s="2"/>
      <c r="AG21" s="2"/>
      <c r="AH21" s="2"/>
      <c r="AI21" s="598" t="s">
        <v>256</v>
      </c>
    </row>
    <row r="22" spans="1:35" s="51" customFormat="1" ht="16.5" thickTop="1">
      <c r="A22" s="545"/>
      <c r="B22" s="118"/>
      <c r="C22" s="118"/>
      <c r="D22" s="118"/>
      <c r="E22" s="118"/>
      <c r="F22" s="118"/>
      <c r="G22" s="116"/>
      <c r="H22" s="2"/>
      <c r="I22" s="2"/>
      <c r="J22" s="2"/>
      <c r="K22" s="603" t="s">
        <v>254</v>
      </c>
      <c r="M22" s="545"/>
      <c r="N22" s="118"/>
      <c r="O22" s="118"/>
      <c r="P22" s="118"/>
      <c r="Q22" s="118"/>
      <c r="R22" s="118"/>
      <c r="S22" s="116"/>
      <c r="T22" s="2"/>
      <c r="U22" s="2"/>
      <c r="V22" s="2"/>
      <c r="W22" s="603" t="s">
        <v>254</v>
      </c>
      <c r="Y22" s="545"/>
      <c r="Z22" s="118"/>
      <c r="AA22" s="118"/>
      <c r="AB22" s="118"/>
      <c r="AC22" s="118"/>
      <c r="AD22" s="118"/>
      <c r="AE22" s="116"/>
      <c r="AF22" s="2"/>
      <c r="AG22" s="2"/>
      <c r="AH22" s="2"/>
      <c r="AI22" s="603" t="s">
        <v>254</v>
      </c>
    </row>
    <row r="23" spans="1:35" s="51" customFormat="1" ht="16.5" thickBot="1">
      <c r="A23" s="18"/>
      <c r="B23" s="2"/>
      <c r="C23" s="2"/>
      <c r="D23" s="2"/>
      <c r="E23" s="2"/>
      <c r="F23" s="2"/>
      <c r="G23" s="2"/>
      <c r="H23" s="2"/>
      <c r="I23" s="2"/>
      <c r="J23" s="2"/>
      <c r="K23" s="604"/>
      <c r="M23" s="18"/>
      <c r="N23" s="2"/>
      <c r="O23" s="2"/>
      <c r="P23" s="2"/>
      <c r="Q23" s="2"/>
      <c r="R23" s="2"/>
      <c r="S23" s="2"/>
      <c r="T23" s="2"/>
      <c r="U23" s="2"/>
      <c r="V23" s="2"/>
      <c r="W23" s="604"/>
      <c r="Y23" s="18"/>
      <c r="Z23" s="2"/>
      <c r="AA23" s="2"/>
      <c r="AB23" s="2"/>
      <c r="AC23" s="2"/>
      <c r="AD23" s="2"/>
      <c r="AE23" s="2"/>
      <c r="AF23" s="2"/>
      <c r="AG23" s="2"/>
      <c r="AH23" s="2"/>
      <c r="AI23" s="604"/>
    </row>
    <row r="24" spans="1:35" s="51" customFormat="1" ht="16.5" thickBot="1">
      <c r="A24" s="1026" t="s">
        <v>890</v>
      </c>
      <c r="B24" s="1027"/>
      <c r="C24" s="1027"/>
      <c r="D24" s="1027"/>
      <c r="E24" s="1027"/>
      <c r="F24" s="1027"/>
      <c r="G24" s="1027"/>
      <c r="H24" s="1027"/>
      <c r="I24" s="1027"/>
      <c r="J24" s="1027"/>
      <c r="K24" s="1028"/>
      <c r="L24" s="16"/>
      <c r="M24" s="1026" t="s">
        <v>890</v>
      </c>
      <c r="N24" s="1027"/>
      <c r="O24" s="1027"/>
      <c r="P24" s="1027"/>
      <c r="Q24" s="1027"/>
      <c r="R24" s="1027"/>
      <c r="S24" s="1027"/>
      <c r="T24" s="1027"/>
      <c r="U24" s="1027"/>
      <c r="V24" s="1027"/>
      <c r="W24" s="1028"/>
      <c r="Y24" s="1026" t="s">
        <v>890</v>
      </c>
      <c r="Z24" s="1027"/>
      <c r="AA24" s="1027"/>
      <c r="AB24" s="1027"/>
      <c r="AC24" s="1027"/>
      <c r="AD24" s="1027"/>
      <c r="AE24" s="1027"/>
      <c r="AF24" s="1027"/>
      <c r="AG24" s="1027"/>
      <c r="AH24" s="1027"/>
      <c r="AI24" s="1028"/>
    </row>
    <row r="25" spans="1:35" s="51" customFormat="1" ht="31.5">
      <c r="A25" s="810" t="s">
        <v>126</v>
      </c>
      <c r="B25" s="811" t="s">
        <v>106</v>
      </c>
      <c r="C25" s="812" t="s">
        <v>107</v>
      </c>
      <c r="D25" s="813" t="s">
        <v>12</v>
      </c>
      <c r="E25" s="813" t="s">
        <v>108</v>
      </c>
      <c r="F25" s="811" t="s">
        <v>11</v>
      </c>
      <c r="G25" s="813" t="s">
        <v>109</v>
      </c>
      <c r="H25" s="814"/>
      <c r="I25" s="814"/>
      <c r="J25" s="814"/>
      <c r="K25" s="815"/>
      <c r="L25" s="16"/>
      <c r="M25" s="810" t="s">
        <v>126</v>
      </c>
      <c r="N25" s="811" t="s">
        <v>106</v>
      </c>
      <c r="O25" s="812" t="s">
        <v>107</v>
      </c>
      <c r="P25" s="813" t="s">
        <v>12</v>
      </c>
      <c r="Q25" s="813" t="s">
        <v>108</v>
      </c>
      <c r="R25" s="811" t="s">
        <v>11</v>
      </c>
      <c r="S25" s="813" t="s">
        <v>109</v>
      </c>
      <c r="T25" s="814"/>
      <c r="U25" s="814"/>
      <c r="V25" s="814"/>
      <c r="W25" s="815"/>
      <c r="Y25" s="810" t="s">
        <v>126</v>
      </c>
      <c r="Z25" s="811" t="s">
        <v>106</v>
      </c>
      <c r="AA25" s="812" t="s">
        <v>107</v>
      </c>
      <c r="AB25" s="813" t="s">
        <v>12</v>
      </c>
      <c r="AC25" s="813" t="s">
        <v>108</v>
      </c>
      <c r="AD25" s="811" t="s">
        <v>11</v>
      </c>
      <c r="AE25" s="813" t="s">
        <v>109</v>
      </c>
      <c r="AF25" s="814"/>
      <c r="AG25" s="814"/>
      <c r="AH25" s="814"/>
      <c r="AI25" s="815"/>
    </row>
    <row r="26" spans="1:35" s="51" customFormat="1" ht="16.350000000000001" customHeight="1">
      <c r="A26" s="105" t="s">
        <v>500</v>
      </c>
      <c r="B26" s="48"/>
      <c r="C26" s="820"/>
      <c r="D26" s="36"/>
      <c r="E26" s="45" t="s">
        <v>128</v>
      </c>
      <c r="F26" s="41"/>
      <c r="G26" s="38"/>
      <c r="H26" s="2"/>
      <c r="I26" s="607" t="s">
        <v>96</v>
      </c>
      <c r="J26" s="607" t="s">
        <v>97</v>
      </c>
      <c r="K26" s="608" t="s">
        <v>98</v>
      </c>
      <c r="L26" s="1032"/>
      <c r="M26" s="105" t="s">
        <v>500</v>
      </c>
      <c r="N26" s="48"/>
      <c r="O26" s="820"/>
      <c r="P26" s="36"/>
      <c r="Q26" s="45" t="s">
        <v>128</v>
      </c>
      <c r="R26" s="41"/>
      <c r="S26" s="38"/>
      <c r="T26" s="2"/>
      <c r="U26" s="607" t="s">
        <v>96</v>
      </c>
      <c r="V26" s="607" t="s">
        <v>97</v>
      </c>
      <c r="W26" s="608" t="s">
        <v>98</v>
      </c>
      <c r="Y26" s="105" t="s">
        <v>500</v>
      </c>
      <c r="Z26" s="48"/>
      <c r="AA26" s="820"/>
      <c r="AB26" s="36"/>
      <c r="AC26" s="45" t="s">
        <v>128</v>
      </c>
      <c r="AD26" s="41"/>
      <c r="AE26" s="38"/>
      <c r="AF26" s="2"/>
      <c r="AG26" s="607" t="s">
        <v>96</v>
      </c>
      <c r="AH26" s="607" t="s">
        <v>97</v>
      </c>
      <c r="AI26" s="608" t="s">
        <v>98</v>
      </c>
    </row>
    <row r="27" spans="1:35" s="51" customFormat="1" ht="16.350000000000001" customHeight="1">
      <c r="A27" s="584" t="s">
        <v>13</v>
      </c>
      <c r="B27" s="585">
        <f t="shared" ref="B27:B29" si="15">VLOOKUP(A27,Macronutrients,14,FALSE)</f>
        <v>0</v>
      </c>
      <c r="C27" s="586">
        <f t="shared" ref="C27:C29" si="16">VLOOKUP(A27,Macronutrients,18,FALSE)</f>
        <v>0</v>
      </c>
      <c r="D27" s="585">
        <f t="shared" ref="D27:D29" si="17">VLOOKUP(A27,Macronutrients,16,FALSE)</f>
        <v>1</v>
      </c>
      <c r="E27" s="587">
        <v>0</v>
      </c>
      <c r="F27" s="588">
        <f t="shared" ref="F27:F29" si="18">VLOOKUP(A27,Macronutrients,15,FALSE)</f>
        <v>0</v>
      </c>
      <c r="G27" s="736">
        <f t="shared" ref="G27:G29" si="19">(E27*VLOOKUP(A27,Macronutrients,14,FALSE)/D27)*C27</f>
        <v>0</v>
      </c>
      <c r="H27" s="2"/>
      <c r="I27" s="725">
        <f>VLOOKUP(A27,Macronutrients,2,FALSE)*E27+VLOOKUP(A28,Macronutrients,2,FALSE)*E28+VLOOKUP(A29,Macronutrients,2,FALSE)*E29+VLOOKUP(A32,Micronutrients,2,FALSE)*E32+VLOOKUP(A33,Micronutrients,2,FALSE)*E33+VLOOKUP(A34,Micronutrients,2,FALSE)*E34</f>
        <v>0</v>
      </c>
      <c r="J27" s="589">
        <f>VLOOKUP(A27,Macronutrients,3,FALSE)*E27+VLOOKUP(A28,Macronutrients,3,FALSE)*E28+VLOOKUP(A29,Macronutrients,3,FALSE)*E29+VLOOKUP(A32,Micronutrients,3,FALSE)*E32+VLOOKUP(A33,Micronutrients,3,FALSE)*E33+VLOOKUP(A34,Micronutrients,3,FALSE)*E34</f>
        <v>0</v>
      </c>
      <c r="K27" s="590">
        <f>VLOOKUP(A27,Macronutrients,4,FALSE)*E27+VLOOKUP(A28,Macronutrients,4,FALSE)*E28+VLOOKUP(A29,Macronutrients,4,FALSE)*E29+VLOOKUP(A32,Micronutrients,4,FALSE)*E32+VLOOKUP(A33,Micronutrients,4,FALSE)*E33+VLOOKUP(A34,Micronutrients,4,FALSE)*E34</f>
        <v>0</v>
      </c>
      <c r="L27" s="1032"/>
      <c r="M27" s="584" t="s">
        <v>13</v>
      </c>
      <c r="N27" s="585">
        <f t="shared" ref="N27:N29" si="20">VLOOKUP(M27,Macronutrients,14,FALSE)</f>
        <v>0</v>
      </c>
      <c r="O27" s="586">
        <f t="shared" ref="O27:O29" si="21">VLOOKUP(M27,Macronutrients,18,FALSE)</f>
        <v>0</v>
      </c>
      <c r="P27" s="585">
        <f t="shared" ref="P27:P29" si="22">VLOOKUP(M27,Macronutrients,16,FALSE)</f>
        <v>1</v>
      </c>
      <c r="Q27" s="587">
        <v>0</v>
      </c>
      <c r="R27" s="588">
        <f t="shared" ref="R27:R29" si="23">VLOOKUP(M27,Macronutrients,15,FALSE)</f>
        <v>0</v>
      </c>
      <c r="S27" s="736">
        <f t="shared" ref="S27:S29" si="24">(Q27*VLOOKUP(M27,Macronutrients,14,FALSE)/P27)*O27</f>
        <v>0</v>
      </c>
      <c r="T27" s="2"/>
      <c r="U27" s="725">
        <f>VLOOKUP(M27,Macronutrients,2,FALSE)*Q27+VLOOKUP(M28,Macronutrients,2,FALSE)*Q28+VLOOKUP(M29,Macronutrients,2,FALSE)*Q29+VLOOKUP(M32,Micronutrients,2,FALSE)*Q32+VLOOKUP(M33,Micronutrients,2,FALSE)*Q33+VLOOKUP(M34,Micronutrients,2,FALSE)*Q34</f>
        <v>0</v>
      </c>
      <c r="V27" s="589">
        <f>VLOOKUP(M27,Macronutrients,3,FALSE)*Q27+VLOOKUP(M28,Macronutrients,3,FALSE)*Q28+VLOOKUP(M29,Macronutrients,3,FALSE)*Q29+VLOOKUP(M32,Micronutrients,3,FALSE)*Q32+VLOOKUP(M33,Micronutrients,3,FALSE)*Q33+VLOOKUP(M34,Micronutrients,3,FALSE)*Q34</f>
        <v>0</v>
      </c>
      <c r="W27" s="590">
        <f>VLOOKUP(M27,Macronutrients,4,FALSE)*Q27+VLOOKUP(M28,Macronutrients,4,FALSE)*Q28+VLOOKUP(M29,Macronutrients,4,FALSE)*Q29+VLOOKUP(M32,Micronutrients,4,FALSE)*Q32+VLOOKUP(M33,Micronutrients,4,FALSE)*Q33+VLOOKUP(M34,Micronutrients,4,FALSE)*Q34</f>
        <v>0</v>
      </c>
      <c r="X27" s="1032"/>
      <c r="Y27" s="584" t="s">
        <v>13</v>
      </c>
      <c r="Z27" s="585">
        <f t="shared" ref="Z27:Z29" si="25">VLOOKUP(Y27,Macronutrients,14,FALSE)</f>
        <v>0</v>
      </c>
      <c r="AA27" s="586">
        <f t="shared" ref="AA27:AA29" si="26">VLOOKUP(Y27,Macronutrients,18,FALSE)</f>
        <v>0</v>
      </c>
      <c r="AB27" s="585">
        <f t="shared" ref="AB27:AB29" si="27">VLOOKUP(Y27,Macronutrients,16,FALSE)</f>
        <v>1</v>
      </c>
      <c r="AC27" s="587">
        <v>0</v>
      </c>
      <c r="AD27" s="588">
        <f t="shared" ref="AD27:AD29" si="28">VLOOKUP(Y27,Macronutrients,15,FALSE)</f>
        <v>0</v>
      </c>
      <c r="AE27" s="736">
        <f t="shared" ref="AE27:AE29" si="29">(AC27*VLOOKUP(Y27,Macronutrients,14,FALSE)/AB27)*AA27</f>
        <v>0</v>
      </c>
      <c r="AF27" s="2"/>
      <c r="AG27" s="725">
        <f>VLOOKUP(Y27,Macronutrients,2,FALSE)*AC27+VLOOKUP(Y28,Macronutrients,2,FALSE)*AC28+VLOOKUP(Y29,Macronutrients,2,FALSE)*AC29+VLOOKUP(Y32,Micronutrients,2,FALSE)*AC32+VLOOKUP(Y33,Micronutrients,2,FALSE)*AC33+VLOOKUP(Y34,Micronutrients,2,FALSE)*AC34</f>
        <v>0</v>
      </c>
      <c r="AH27" s="589">
        <f>VLOOKUP(Y27,Macronutrients,3,FALSE)*AC27+VLOOKUP(Y28,Macronutrients,3,FALSE)*AC28+VLOOKUP(Y29,Macronutrients,3,FALSE)*AC29+VLOOKUP(Y32,Micronutrients,3,FALSE)*AC32+VLOOKUP(Y33,Micronutrients,3,FALSE)*AC33+VLOOKUP(Y34,Micronutrients,3,FALSE)*AC34</f>
        <v>0</v>
      </c>
      <c r="AI27" s="590">
        <f>VLOOKUP(Y27,Macronutrients,4,FALSE)*AC27+VLOOKUP(Y28,Macronutrients,4,FALSE)*AC28+VLOOKUP(Y29,Macronutrients,4,FALSE)*AC29+VLOOKUP(Y32,Micronutrients,4,FALSE)*AC32+VLOOKUP(Y33,Micronutrients,4,FALSE)*AC33+VLOOKUP(Y34,Micronutrients,4,FALSE)*AC34</f>
        <v>0</v>
      </c>
    </row>
    <row r="28" spans="1:35" s="51" customFormat="1" ht="16.350000000000001" customHeight="1">
      <c r="A28" s="584" t="s">
        <v>13</v>
      </c>
      <c r="B28" s="585">
        <f t="shared" si="15"/>
        <v>0</v>
      </c>
      <c r="C28" s="586">
        <f t="shared" si="16"/>
        <v>0</v>
      </c>
      <c r="D28" s="585">
        <f t="shared" si="17"/>
        <v>1</v>
      </c>
      <c r="E28" s="587">
        <v>0</v>
      </c>
      <c r="F28" s="588">
        <f t="shared" si="18"/>
        <v>0</v>
      </c>
      <c r="G28" s="736">
        <f t="shared" si="19"/>
        <v>0</v>
      </c>
      <c r="H28" s="2"/>
      <c r="I28" s="592"/>
      <c r="J28" s="592"/>
      <c r="K28" s="593"/>
      <c r="L28" s="732"/>
      <c r="M28" s="584" t="s">
        <v>13</v>
      </c>
      <c r="N28" s="585">
        <f t="shared" si="20"/>
        <v>0</v>
      </c>
      <c r="O28" s="586">
        <f t="shared" si="21"/>
        <v>0</v>
      </c>
      <c r="P28" s="585">
        <f t="shared" si="22"/>
        <v>1</v>
      </c>
      <c r="Q28" s="587">
        <v>0</v>
      </c>
      <c r="R28" s="588">
        <f t="shared" si="23"/>
        <v>0</v>
      </c>
      <c r="S28" s="736">
        <f t="shared" si="24"/>
        <v>0</v>
      </c>
      <c r="T28" s="2"/>
      <c r="U28" s="592"/>
      <c r="V28" s="592"/>
      <c r="W28" s="593"/>
      <c r="X28" s="1032"/>
      <c r="Y28" s="584" t="s">
        <v>13</v>
      </c>
      <c r="Z28" s="585">
        <f t="shared" si="25"/>
        <v>0</v>
      </c>
      <c r="AA28" s="586">
        <f t="shared" si="26"/>
        <v>0</v>
      </c>
      <c r="AB28" s="585">
        <f t="shared" si="27"/>
        <v>1</v>
      </c>
      <c r="AC28" s="587">
        <v>0</v>
      </c>
      <c r="AD28" s="588">
        <f t="shared" si="28"/>
        <v>0</v>
      </c>
      <c r="AE28" s="736">
        <f t="shared" si="29"/>
        <v>0</v>
      </c>
      <c r="AF28" s="2"/>
      <c r="AG28" s="592"/>
      <c r="AH28" s="592"/>
      <c r="AI28" s="593"/>
    </row>
    <row r="29" spans="1:35" s="51" customFormat="1" ht="16.350000000000001" customHeight="1">
      <c r="A29" s="584" t="s">
        <v>13</v>
      </c>
      <c r="B29" s="585">
        <f t="shared" si="15"/>
        <v>0</v>
      </c>
      <c r="C29" s="586">
        <f t="shared" si="16"/>
        <v>0</v>
      </c>
      <c r="D29" s="585">
        <f t="shared" si="17"/>
        <v>1</v>
      </c>
      <c r="E29" s="587">
        <v>0</v>
      </c>
      <c r="F29" s="588">
        <f t="shared" si="18"/>
        <v>0</v>
      </c>
      <c r="G29" s="736">
        <f t="shared" si="19"/>
        <v>0</v>
      </c>
      <c r="I29" s="607" t="s">
        <v>99</v>
      </c>
      <c r="J29" s="607" t="s">
        <v>100</v>
      </c>
      <c r="K29" s="608" t="s">
        <v>101</v>
      </c>
      <c r="L29" s="732"/>
      <c r="M29" s="584" t="s">
        <v>13</v>
      </c>
      <c r="N29" s="585">
        <f t="shared" si="20"/>
        <v>0</v>
      </c>
      <c r="O29" s="586">
        <f t="shared" si="21"/>
        <v>0</v>
      </c>
      <c r="P29" s="585">
        <f t="shared" si="22"/>
        <v>1</v>
      </c>
      <c r="Q29" s="587">
        <v>0</v>
      </c>
      <c r="R29" s="588">
        <f t="shared" si="23"/>
        <v>0</v>
      </c>
      <c r="S29" s="736">
        <f t="shared" si="24"/>
        <v>0</v>
      </c>
      <c r="U29" s="607" t="s">
        <v>99</v>
      </c>
      <c r="V29" s="607" t="s">
        <v>100</v>
      </c>
      <c r="W29" s="608" t="s">
        <v>101</v>
      </c>
      <c r="X29" s="1032"/>
      <c r="Y29" s="584" t="s">
        <v>13</v>
      </c>
      <c r="Z29" s="585">
        <f t="shared" si="25"/>
        <v>0</v>
      </c>
      <c r="AA29" s="586">
        <f t="shared" si="26"/>
        <v>0</v>
      </c>
      <c r="AB29" s="585">
        <f t="shared" si="27"/>
        <v>1</v>
      </c>
      <c r="AC29" s="587">
        <v>0</v>
      </c>
      <c r="AD29" s="588">
        <f t="shared" si="28"/>
        <v>0</v>
      </c>
      <c r="AE29" s="736">
        <f t="shared" si="29"/>
        <v>0</v>
      </c>
      <c r="AG29" s="607" t="s">
        <v>99</v>
      </c>
      <c r="AH29" s="607" t="s">
        <v>100</v>
      </c>
      <c r="AI29" s="608" t="s">
        <v>101</v>
      </c>
    </row>
    <row r="30" spans="1:35" s="51" customFormat="1" ht="16.350000000000001" customHeight="1">
      <c r="A30" s="595"/>
      <c r="B30" s="38"/>
      <c r="C30" s="586"/>
      <c r="D30" s="588"/>
      <c r="E30" s="111"/>
      <c r="F30" s="588"/>
      <c r="G30" s="736"/>
      <c r="H30" s="2"/>
      <c r="I30" s="589">
        <f>VLOOKUP(A27,Macronutrients,5,FALSE)*E27+VLOOKUP(A28,Macronutrients,5,FALSE)*E28+VLOOKUP(A29,Macronutrients,5,FALSE)*E29+VLOOKUP(A32,Micronutrients,5,FALSE)*E32+VLOOKUP(A33,Micronutrients,5,FALSE)*E33+VLOOKUP(A34,Micronutrients,5,FALSE)*E34</f>
        <v>0</v>
      </c>
      <c r="J30" s="589">
        <f>VLOOKUP(A27,Macronutrients,7,FALSE)*E27+VLOOKUP(A28,Macronutrients,7,FALSE)*E28+VLOOKUP(A29,Macronutrients,7,FALSE)*E29+VLOOKUP(A32,Micronutrients,7,FALSE)*E32+VLOOKUP(A33,Micronutrients,7,FALSE)*E33+VLOOKUP(A34,Micronutrients,7,FALSE)*E34</f>
        <v>0</v>
      </c>
      <c r="K30" s="590">
        <f>VLOOKUP($A27,Macronutrients,6,FALSE)*$E$6+VLOOKUP($A28,Macronutrients,6,FALSE)*$E$7+VLOOKUP($A29,Macronutrients,6,FALSE)*$E$8+VLOOKUP($A32,Micronutrients,6,FALSE)*$E$11+VLOOKUP($A33,Micronutrients,6,FALSE)*E33+VLOOKUP($A34,Micronutrients,6,FALSE)*$E$13</f>
        <v>0</v>
      </c>
      <c r="L30" s="732"/>
      <c r="M30" s="595"/>
      <c r="N30" s="38"/>
      <c r="O30" s="586"/>
      <c r="P30" s="588"/>
      <c r="Q30" s="111"/>
      <c r="R30" s="588"/>
      <c r="S30" s="736"/>
      <c r="T30" s="2"/>
      <c r="U30" s="589">
        <f>VLOOKUP(M27,Macronutrients,5,FALSE)*Q27+VLOOKUP(M28,Macronutrients,5,FALSE)*Q28+VLOOKUP(M29,Macronutrients,5,FALSE)*Q29+VLOOKUP(M32,Micronutrients,5,FALSE)*Q32+VLOOKUP(M33,Micronutrients,5,FALSE)*Q33+VLOOKUP(M34,Micronutrients,5,FALSE)*Q34</f>
        <v>0</v>
      </c>
      <c r="V30" s="589">
        <f>VLOOKUP(M27,Macronutrients,7,FALSE)*Q27+VLOOKUP(M28,Macronutrients,7,FALSE)*Q28+VLOOKUP(M29,Macronutrients,7,FALSE)*Q29+VLOOKUP(M32,Micronutrients,7,FALSE)*Q32+VLOOKUP(M33,Micronutrients,7,FALSE)*Q33+VLOOKUP(M34,Micronutrients,7,FALSE)*Q34</f>
        <v>0</v>
      </c>
      <c r="W30" s="590">
        <f>VLOOKUP($A27,Macronutrients,6,FALSE)*$E$6+VLOOKUP($A28,Macronutrients,6,FALSE)*$E$7+VLOOKUP($A29,Macronutrients,6,FALSE)*$E$8+VLOOKUP($A32,Micronutrients,6,FALSE)*$E$11+VLOOKUP($A33,Micronutrients,6,FALSE)*Q33+VLOOKUP($A34,Micronutrients,6,FALSE)*$E$13</f>
        <v>0</v>
      </c>
      <c r="X30" s="1032"/>
      <c r="Y30" s="595"/>
      <c r="Z30" s="38"/>
      <c r="AA30" s="586"/>
      <c r="AB30" s="588"/>
      <c r="AC30" s="111"/>
      <c r="AD30" s="588"/>
      <c r="AE30" s="736"/>
      <c r="AF30" s="2"/>
      <c r="AG30" s="589">
        <f>VLOOKUP(Y27,Macronutrients,5,FALSE)*AC27+VLOOKUP(Y28,Macronutrients,5,FALSE)*AC28+VLOOKUP(Y29,Macronutrients,5,FALSE)*AC29+VLOOKUP(Y32,Micronutrients,5,FALSE)*AC32+VLOOKUP(Y33,Micronutrients,5,FALSE)*AC33+VLOOKUP(Y34,Micronutrients,5,FALSE)*AC34</f>
        <v>0</v>
      </c>
      <c r="AH30" s="589">
        <f>VLOOKUP(Y27,Macronutrients,7,FALSE)*AC27+VLOOKUP(Y28,Macronutrients,7,FALSE)*AC28+VLOOKUP(Y29,Macronutrients,7,FALSE)*AC29+VLOOKUP(Y32,Micronutrients,7,FALSE)*AC32+VLOOKUP(Y33,Micronutrients,7,FALSE)*AC33+VLOOKUP(Y34,Micronutrients,7,FALSE)*AC34</f>
        <v>0</v>
      </c>
      <c r="AI30" s="590">
        <f>VLOOKUP($A27,Macronutrients,6,FALSE)*$E$6+VLOOKUP($A28,Macronutrients,6,FALSE)*$E$7+VLOOKUP($A29,Macronutrients,6,FALSE)*$E$8+VLOOKUP($A32,Micronutrients,6,FALSE)*$E$11+VLOOKUP($A33,Micronutrients,6,FALSE)*AC33+VLOOKUP($A34,Micronutrients,6,FALSE)*$E$13</f>
        <v>0</v>
      </c>
    </row>
    <row r="31" spans="1:35" s="51" customFormat="1" ht="16.350000000000001" customHeight="1">
      <c r="A31" s="105" t="s">
        <v>501</v>
      </c>
      <c r="B31" s="821"/>
      <c r="C31" s="586"/>
      <c r="D31" s="821"/>
      <c r="E31" s="596"/>
      <c r="F31" s="48"/>
      <c r="G31" s="736"/>
      <c r="H31" s="2"/>
      <c r="I31" s="592"/>
      <c r="J31" s="592"/>
      <c r="K31" s="593"/>
      <c r="L31" s="732"/>
      <c r="M31" s="105" t="s">
        <v>501</v>
      </c>
      <c r="N31" s="821"/>
      <c r="O31" s="586"/>
      <c r="P31" s="821"/>
      <c r="Q31" s="596"/>
      <c r="R31" s="48"/>
      <c r="S31" s="736"/>
      <c r="T31" s="2"/>
      <c r="U31" s="592"/>
      <c r="V31" s="592"/>
      <c r="W31" s="593"/>
      <c r="X31" s="1032"/>
      <c r="Y31" s="105" t="s">
        <v>501</v>
      </c>
      <c r="Z31" s="821"/>
      <c r="AA31" s="586"/>
      <c r="AB31" s="821"/>
      <c r="AC31" s="596"/>
      <c r="AD31" s="48"/>
      <c r="AE31" s="736"/>
      <c r="AF31" s="2"/>
      <c r="AG31" s="592"/>
      <c r="AH31" s="592"/>
      <c r="AI31" s="593"/>
    </row>
    <row r="32" spans="1:35" s="51" customFormat="1" ht="16.350000000000001" customHeight="1">
      <c r="A32" s="584" t="s">
        <v>13</v>
      </c>
      <c r="B32" s="585">
        <f>VLOOKUP($A32,Micronutrients,14,FALSE)</f>
        <v>0</v>
      </c>
      <c r="C32" s="586">
        <f>VLOOKUP(A32,Micronutrients,18,FALSE)</f>
        <v>0</v>
      </c>
      <c r="D32" s="585">
        <f>VLOOKUP(A32,Micronutrients,16,FALSE)</f>
        <v>1</v>
      </c>
      <c r="E32" s="587">
        <v>0</v>
      </c>
      <c r="F32" s="588">
        <f>VLOOKUP(A32,Micronutrients,15,FALSE)</f>
        <v>0</v>
      </c>
      <c r="G32" s="736">
        <f>(E32*VLOOKUP(A32,Micronutrients,14,FALSE)/D32)*C32</f>
        <v>0</v>
      </c>
      <c r="H32" s="2"/>
      <c r="I32" s="607" t="s">
        <v>102</v>
      </c>
      <c r="J32" s="607" t="s">
        <v>103</v>
      </c>
      <c r="K32" s="608" t="s">
        <v>104</v>
      </c>
      <c r="L32" s="732"/>
      <c r="M32" s="584" t="s">
        <v>13</v>
      </c>
      <c r="N32" s="585">
        <f>VLOOKUP($A32,Micronutrients,14,FALSE)</f>
        <v>0</v>
      </c>
      <c r="O32" s="586">
        <f>VLOOKUP(M32,Micronutrients,18,FALSE)</f>
        <v>0</v>
      </c>
      <c r="P32" s="585">
        <f>VLOOKUP(M32,Micronutrients,16,FALSE)</f>
        <v>1</v>
      </c>
      <c r="Q32" s="587">
        <v>0</v>
      </c>
      <c r="R32" s="588">
        <f>VLOOKUP(M32,Micronutrients,15,FALSE)</f>
        <v>0</v>
      </c>
      <c r="S32" s="736">
        <f>(Q32*VLOOKUP(M32,Micronutrients,14,FALSE)/P32)*O32</f>
        <v>0</v>
      </c>
      <c r="T32" s="2"/>
      <c r="U32" s="607" t="s">
        <v>102</v>
      </c>
      <c r="V32" s="607" t="s">
        <v>103</v>
      </c>
      <c r="W32" s="608" t="s">
        <v>104</v>
      </c>
      <c r="X32" s="1032"/>
      <c r="Y32" s="584" t="s">
        <v>13</v>
      </c>
      <c r="Z32" s="585">
        <f>VLOOKUP($A32,Micronutrients,14,FALSE)</f>
        <v>0</v>
      </c>
      <c r="AA32" s="586">
        <f>VLOOKUP(Y32,Micronutrients,18,FALSE)</f>
        <v>0</v>
      </c>
      <c r="AB32" s="585">
        <f>VLOOKUP(Y32,Micronutrients,16,FALSE)</f>
        <v>1</v>
      </c>
      <c r="AC32" s="587">
        <v>0</v>
      </c>
      <c r="AD32" s="588">
        <f>VLOOKUP(Y32,Micronutrients,15,FALSE)</f>
        <v>0</v>
      </c>
      <c r="AE32" s="736">
        <f>(AC32*VLOOKUP(Y32,Micronutrients,14,FALSE)/AB32)*AA32</f>
        <v>0</v>
      </c>
      <c r="AF32" s="2"/>
      <c r="AG32" s="607" t="s">
        <v>102</v>
      </c>
      <c r="AH32" s="607" t="s">
        <v>103</v>
      </c>
      <c r="AI32" s="608" t="s">
        <v>104</v>
      </c>
    </row>
    <row r="33" spans="1:35" s="51" customFormat="1" ht="16.350000000000001" customHeight="1">
      <c r="A33" s="584" t="s">
        <v>13</v>
      </c>
      <c r="B33" s="585">
        <f>VLOOKUP($A33,Micronutrients,14,FALSE)</f>
        <v>0</v>
      </c>
      <c r="C33" s="586">
        <f>VLOOKUP(A33,Micronutrients,18,FALSE)</f>
        <v>0</v>
      </c>
      <c r="D33" s="585">
        <f>VLOOKUP(A33,Micronutrients,16,FALSE)</f>
        <v>1</v>
      </c>
      <c r="E33" s="587">
        <v>0</v>
      </c>
      <c r="F33" s="588">
        <f>VLOOKUP(A33,Micronutrients,15,FALSE)</f>
        <v>0</v>
      </c>
      <c r="G33" s="736">
        <f>(E33*VLOOKUP(A33,Micronutrients,14,FALSE)/D33)*C33</f>
        <v>0</v>
      </c>
      <c r="H33" s="2"/>
      <c r="I33" s="722">
        <f>VLOOKUP(A27,Macronutrients,8,FALSE)*E27+VLOOKUP(A28,Macronutrients,8,FALSE)*E28+VLOOKUP(A29,Macronutrients,8,FALSE)*E29+VLOOKUP(A32,Micronutrients,8,FALSE)*E32+VLOOKUP(A33,Micronutrients,8,FALSE)*E33+VLOOKUP(A34,Micronutrients,8,FALSE)*E34</f>
        <v>0</v>
      </c>
      <c r="J33" s="722">
        <f>VLOOKUP(A27,Macronutrients,9,FALSE)*E27+VLOOKUP(A28,Macronutrients,9,FALSE)*E28+VLOOKUP(A29,Macronutrients,9,FALSE)*E29+VLOOKUP(A32,Micronutrients,9,FALSE)*E32+VLOOKUP(A33,Micronutrients,9,FALSE)*E33+VLOOKUP(A34,Micronutrients,9,FALSE)*E34</f>
        <v>0</v>
      </c>
      <c r="K33" s="723">
        <f>VLOOKUP(A27,Macronutrients,10,FALSE)*E27+VLOOKUP(A28,Macronutrients,10,FALSE)*E28+VLOOKUP(A29,Macronutrients,10,FALSE)*E29+VLOOKUP(A32,Micronutrients,10,FALSE)*E32+VLOOKUP(A33,Micronutrients,10,FALSE)*E33+VLOOKUP(A34,Micronutrients,10,FALSE)*E34</f>
        <v>0</v>
      </c>
      <c r="L33" s="732"/>
      <c r="M33" s="584" t="s">
        <v>13</v>
      </c>
      <c r="N33" s="585">
        <f>VLOOKUP($A33,Micronutrients,14,FALSE)</f>
        <v>0</v>
      </c>
      <c r="O33" s="586">
        <f>VLOOKUP(M33,Micronutrients,18,FALSE)</f>
        <v>0</v>
      </c>
      <c r="P33" s="585">
        <f>VLOOKUP(M33,Micronutrients,16,FALSE)</f>
        <v>1</v>
      </c>
      <c r="Q33" s="587">
        <v>0</v>
      </c>
      <c r="R33" s="588">
        <f>VLOOKUP(M33,Micronutrients,15,FALSE)</f>
        <v>0</v>
      </c>
      <c r="S33" s="736">
        <f>(Q33*VLOOKUP(M33,Micronutrients,14,FALSE)/P33)*O33</f>
        <v>0</v>
      </c>
      <c r="T33" s="2"/>
      <c r="U33" s="722">
        <f>VLOOKUP(M27,Macronutrients,8,FALSE)*Q27+VLOOKUP(M28,Macronutrients,8,FALSE)*Q28+VLOOKUP(M29,Macronutrients,8,FALSE)*Q29+VLOOKUP(M32,Micronutrients,8,FALSE)*Q32+VLOOKUP(M33,Micronutrients,8,FALSE)*Q33+VLOOKUP(M34,Micronutrients,8,FALSE)*Q34</f>
        <v>0</v>
      </c>
      <c r="V33" s="722">
        <f>VLOOKUP(M27,Macronutrients,9,FALSE)*Q27+VLOOKUP(M28,Macronutrients,9,FALSE)*Q28+VLOOKUP(M29,Macronutrients,9,FALSE)*Q29+VLOOKUP(M32,Micronutrients,9,FALSE)*Q32+VLOOKUP(M33,Micronutrients,9,FALSE)*Q33+VLOOKUP(M34,Micronutrients,9,FALSE)*Q34</f>
        <v>0</v>
      </c>
      <c r="W33" s="723">
        <f>VLOOKUP(M27,Macronutrients,10,FALSE)*Q27+VLOOKUP(M28,Macronutrients,10,FALSE)*Q28+VLOOKUP(M29,Macronutrients,10,FALSE)*Q29+VLOOKUP(M32,Micronutrients,10,FALSE)*Q32+VLOOKUP(M33,Micronutrients,10,FALSE)*Q33+VLOOKUP(M34,Micronutrients,10,FALSE)*Q34</f>
        <v>0</v>
      </c>
      <c r="X33" s="1032"/>
      <c r="Y33" s="584" t="s">
        <v>13</v>
      </c>
      <c r="Z33" s="585">
        <f>VLOOKUP($A33,Micronutrients,14,FALSE)</f>
        <v>0</v>
      </c>
      <c r="AA33" s="586">
        <f>VLOOKUP(Y33,Micronutrients,18,FALSE)</f>
        <v>0</v>
      </c>
      <c r="AB33" s="585">
        <f>VLOOKUP(Y33,Micronutrients,16,FALSE)</f>
        <v>1</v>
      </c>
      <c r="AC33" s="587">
        <v>0</v>
      </c>
      <c r="AD33" s="588">
        <f>VLOOKUP(Y33,Micronutrients,15,FALSE)</f>
        <v>0</v>
      </c>
      <c r="AE33" s="736">
        <f>(AC33*VLOOKUP(Y33,Micronutrients,14,FALSE)/AB33)*AA33</f>
        <v>0</v>
      </c>
      <c r="AF33" s="2"/>
      <c r="AG33" s="722">
        <f>VLOOKUP(Y27,Macronutrients,8,FALSE)*AC27+VLOOKUP(Y28,Macronutrients,8,FALSE)*AC28+VLOOKUP(Y29,Macronutrients,8,FALSE)*AC29+VLOOKUP(Y32,Micronutrients,8,FALSE)*AC32+VLOOKUP(Y33,Micronutrients,8,FALSE)*AC33+VLOOKUP(Y34,Micronutrients,8,FALSE)*AC34</f>
        <v>0</v>
      </c>
      <c r="AH33" s="722">
        <f>VLOOKUP(Y27,Macronutrients,9,FALSE)*AC27+VLOOKUP(Y28,Macronutrients,9,FALSE)*AC28+VLOOKUP(Y29,Macronutrients,9,FALSE)*AC29+VLOOKUP(Y32,Micronutrients,9,FALSE)*AC32+VLOOKUP(Y33,Micronutrients,9,FALSE)*AC33+VLOOKUP(Y34,Micronutrients,9,FALSE)*AC34</f>
        <v>0</v>
      </c>
      <c r="AI33" s="723">
        <f>VLOOKUP(Y27,Macronutrients,10,FALSE)*AC27+VLOOKUP(Y28,Macronutrients,10,FALSE)*AC28+VLOOKUP(Y29,Macronutrients,10,FALSE)*AC29+VLOOKUP(Y32,Micronutrients,10,FALSE)*AC32+VLOOKUP(Y33,Micronutrients,10,FALSE)*AC33+VLOOKUP(Y34,Micronutrients,10,FALSE)*AC34</f>
        <v>0</v>
      </c>
    </row>
    <row r="34" spans="1:35" s="51" customFormat="1" ht="16.350000000000001" customHeight="1">
      <c r="A34" s="584" t="s">
        <v>13</v>
      </c>
      <c r="B34" s="585">
        <f>VLOOKUP($A34,Micronutrients,14,FALSE)</f>
        <v>0</v>
      </c>
      <c r="C34" s="586">
        <f>VLOOKUP(A34,Micronutrients,18,FALSE)</f>
        <v>0</v>
      </c>
      <c r="D34" s="585">
        <f>VLOOKUP(A34,Micronutrients,16,FALSE)</f>
        <v>1</v>
      </c>
      <c r="E34" s="587">
        <v>0</v>
      </c>
      <c r="F34" s="588">
        <f>VLOOKUP(A34,Micronutrients,15,FALSE)</f>
        <v>0</v>
      </c>
      <c r="G34" s="736">
        <f>(E34*VLOOKUP(A34,Micronutrients,14,FALSE)/D34)*C34</f>
        <v>0</v>
      </c>
      <c r="H34" s="2"/>
      <c r="I34" s="2"/>
      <c r="J34" s="2"/>
      <c r="K34" s="49"/>
      <c r="L34" s="732"/>
      <c r="M34" s="584" t="s">
        <v>13</v>
      </c>
      <c r="N34" s="585">
        <f>VLOOKUP($A34,Micronutrients,14,FALSE)</f>
        <v>0</v>
      </c>
      <c r="O34" s="586">
        <f>VLOOKUP(M34,Micronutrients,18,FALSE)</f>
        <v>0</v>
      </c>
      <c r="P34" s="585">
        <f>VLOOKUP(M34,Micronutrients,16,FALSE)</f>
        <v>1</v>
      </c>
      <c r="Q34" s="587">
        <v>0</v>
      </c>
      <c r="R34" s="588">
        <f>VLOOKUP(M34,Micronutrients,15,FALSE)</f>
        <v>0</v>
      </c>
      <c r="S34" s="736">
        <f>(Q34*VLOOKUP(M34,Micronutrients,14,FALSE)/P34)*O34</f>
        <v>0</v>
      </c>
      <c r="T34" s="2"/>
      <c r="U34" s="2"/>
      <c r="V34" s="2"/>
      <c r="W34" s="49"/>
      <c r="X34" s="1032"/>
      <c r="Y34" s="584" t="s">
        <v>13</v>
      </c>
      <c r="Z34" s="585">
        <f>VLOOKUP($A34,Micronutrients,14,FALSE)</f>
        <v>0</v>
      </c>
      <c r="AA34" s="586">
        <f>VLOOKUP(Y34,Micronutrients,18,FALSE)</f>
        <v>0</v>
      </c>
      <c r="AB34" s="585">
        <f>VLOOKUP(Y34,Micronutrients,16,FALSE)</f>
        <v>1</v>
      </c>
      <c r="AC34" s="587">
        <v>0</v>
      </c>
      <c r="AD34" s="588">
        <f>VLOOKUP(Y34,Micronutrients,15,FALSE)</f>
        <v>0</v>
      </c>
      <c r="AE34" s="736">
        <f>(AC34*VLOOKUP(Y34,Micronutrients,14,FALSE)/AB34)*AA34</f>
        <v>0</v>
      </c>
      <c r="AF34" s="2"/>
      <c r="AG34" s="2"/>
      <c r="AH34" s="2"/>
      <c r="AI34" s="49"/>
    </row>
    <row r="35" spans="1:35" s="51" customFormat="1" ht="16.350000000000001" customHeight="1">
      <c r="A35" s="595"/>
      <c r="B35" s="821"/>
      <c r="C35" s="586"/>
      <c r="D35" s="821"/>
      <c r="E35" s="596"/>
      <c r="F35" s="588"/>
      <c r="G35" s="736"/>
      <c r="H35" s="2"/>
      <c r="I35" s="607" t="s">
        <v>886</v>
      </c>
      <c r="J35" s="607" t="s">
        <v>887</v>
      </c>
      <c r="K35" s="608" t="s">
        <v>888</v>
      </c>
      <c r="L35" s="732"/>
      <c r="M35" s="595"/>
      <c r="N35" s="821"/>
      <c r="O35" s="586"/>
      <c r="P35" s="821"/>
      <c r="Q35" s="596"/>
      <c r="R35" s="588"/>
      <c r="S35" s="736"/>
      <c r="T35" s="2"/>
      <c r="U35" s="607" t="s">
        <v>886</v>
      </c>
      <c r="V35" s="607" t="s">
        <v>887</v>
      </c>
      <c r="W35" s="608" t="s">
        <v>888</v>
      </c>
      <c r="X35" s="1032"/>
      <c r="Y35" s="595"/>
      <c r="Z35" s="821"/>
      <c r="AA35" s="586"/>
      <c r="AB35" s="821"/>
      <c r="AC35" s="596"/>
      <c r="AD35" s="588"/>
      <c r="AE35" s="736"/>
      <c r="AF35" s="2"/>
      <c r="AG35" s="607" t="s">
        <v>886</v>
      </c>
      <c r="AH35" s="607" t="s">
        <v>887</v>
      </c>
      <c r="AI35" s="608" t="s">
        <v>888</v>
      </c>
    </row>
    <row r="36" spans="1:35" s="51" customFormat="1" ht="16.350000000000001" customHeight="1">
      <c r="A36" s="595"/>
      <c r="B36" s="821"/>
      <c r="C36" s="586"/>
      <c r="D36" s="821"/>
      <c r="E36" s="596"/>
      <c r="F36" s="48"/>
      <c r="G36" s="736"/>
      <c r="H36" s="2"/>
      <c r="I36" s="722">
        <f>VLOOKUP(A27,Macronutrients,11,FALSE)*E27+VLOOKUP(A28,Macronutrients,11,FALSE)*E28+VLOOKUP(A29,Macronutrients,11,FALSE)*E29+VLOOKUP(A32,Micronutrients,11,FALSE)*E32+VLOOKUP(A33,Micronutrients,11,FALSE)*E33+VLOOKUP(A34,Micronutrients,11,FALSE)*E34</f>
        <v>0</v>
      </c>
      <c r="J36" s="722">
        <f>VLOOKUP(A27,Macronutrients,12,FALSE)*E27+VLOOKUP(A28,Macronutrients,12,FALSE)*E28+VLOOKUP(A29,Macronutrients,12,FALSE)*E29+VLOOKUP(A32,Micronutrients,12,FALSE)*E32+VLOOKUP(A33,Micronutrients,12,FALSE)*E33+VLOOKUP(A34,Micronutrients,12,FALSE)*E34</f>
        <v>0</v>
      </c>
      <c r="K36" s="723">
        <f>VLOOKUP(A27,Macronutrients,13,FALSE)*E27+VLOOKUP(A28,Macronutrients,13,FALSE)*E28+VLOOKUP(A29,Macronutrients,13,FALSE)*E29+VLOOKUP(A32,Micronutrients,13,FALSE)*E32+VLOOKUP(A33,Micronutrients,13,FALSE)*E33+VLOOKUP(A34,Micronutrients,13,FALSE)*E34</f>
        <v>0</v>
      </c>
      <c r="L36" s="732"/>
      <c r="M36" s="595"/>
      <c r="N36" s="821"/>
      <c r="O36" s="586"/>
      <c r="P36" s="821"/>
      <c r="Q36" s="596"/>
      <c r="R36" s="48"/>
      <c r="S36" s="736"/>
      <c r="T36" s="2"/>
      <c r="U36" s="722">
        <f>VLOOKUP(M27,Macronutrients,11,FALSE)*Q27+VLOOKUP(M28,Macronutrients,11,FALSE)*Q28+VLOOKUP(M29,Macronutrients,11,FALSE)*Q29+VLOOKUP(M32,Micronutrients,11,FALSE)*Q32+VLOOKUP(M33,Micronutrients,11,FALSE)*Q33+VLOOKUP(M34,Micronutrients,11,FALSE)*Q34</f>
        <v>0</v>
      </c>
      <c r="V36" s="722">
        <f>VLOOKUP(M27,Macronutrients,12,FALSE)*Q27+VLOOKUP(M28,Macronutrients,12,FALSE)*Q28+VLOOKUP(M29,Macronutrients,12,FALSE)*Q29+VLOOKUP(M32,Micronutrients,12,FALSE)*Q32+VLOOKUP(M33,Micronutrients,12,FALSE)*Q33+VLOOKUP(M34,Micronutrients,12,FALSE)*Q34</f>
        <v>0</v>
      </c>
      <c r="W36" s="723">
        <f>VLOOKUP(M27,Macronutrients,13,FALSE)*Q27+VLOOKUP(M28,Macronutrients,13,FALSE)*Q28+VLOOKUP(M29,Macronutrients,13,FALSE)*Q29+VLOOKUP(M32,Micronutrients,13,FALSE)*Q32+VLOOKUP(M33,Micronutrients,13,FALSE)*Q33+VLOOKUP(M34,Micronutrients,13,FALSE)*Q34</f>
        <v>0</v>
      </c>
      <c r="X36" s="1032"/>
      <c r="Y36" s="595"/>
      <c r="Z36" s="821"/>
      <c r="AA36" s="586"/>
      <c r="AB36" s="821"/>
      <c r="AC36" s="596"/>
      <c r="AD36" s="48"/>
      <c r="AE36" s="736"/>
      <c r="AF36" s="2"/>
      <c r="AG36" s="722">
        <f>VLOOKUP(Y27,Macronutrients,11,FALSE)*AC27+VLOOKUP(Y28,Macronutrients,11,FALSE)*AC28+VLOOKUP(Y29,Macronutrients,11,FALSE)*AC29+VLOOKUP(Y32,Micronutrients,11,FALSE)*AC32+VLOOKUP(Y33,Micronutrients,11,FALSE)*AC33+VLOOKUP(Y34,Micronutrients,11,FALSE)*AC34</f>
        <v>0</v>
      </c>
      <c r="AH36" s="722">
        <f>VLOOKUP(Y27,Macronutrients,12,FALSE)*AC27+VLOOKUP(Y28,Macronutrients,12,FALSE)*AC28+VLOOKUP(Y29,Macronutrients,12,FALSE)*AC29+VLOOKUP(Y32,Micronutrients,12,FALSE)*AC32+VLOOKUP(Y33,Micronutrients,12,FALSE)*AC33+VLOOKUP(Y34,Micronutrients,12,FALSE)*AC34</f>
        <v>0</v>
      </c>
      <c r="AI36" s="723">
        <f>VLOOKUP(Y27,Macronutrients,13,FALSE)*AC27+VLOOKUP(Y28,Macronutrients,13,FALSE)*AC28+VLOOKUP(Y29,Macronutrients,13,FALSE)*AC29+VLOOKUP(Y32,Micronutrients,13,FALSE)*AC32+VLOOKUP(Y33,Micronutrients,13,FALSE)*AC33+VLOOKUP(Y34,Micronutrients,13,FALSE)*AC34</f>
        <v>0</v>
      </c>
    </row>
    <row r="37" spans="1:35" s="51" customFormat="1" ht="16.350000000000001" customHeight="1">
      <c r="A37" s="105" t="s">
        <v>425</v>
      </c>
      <c r="B37" s="822"/>
      <c r="C37" s="823"/>
      <c r="D37" s="822"/>
      <c r="E37" s="824"/>
      <c r="F37" s="106"/>
      <c r="G37" s="826"/>
      <c r="H37" s="2"/>
      <c r="I37" s="825"/>
      <c r="J37" s="825"/>
      <c r="K37" s="724"/>
      <c r="L37" s="732"/>
      <c r="M37" s="105" t="s">
        <v>425</v>
      </c>
      <c r="N37" s="822"/>
      <c r="O37" s="823"/>
      <c r="P37" s="822"/>
      <c r="Q37" s="824"/>
      <c r="R37" s="106"/>
      <c r="S37" s="826"/>
      <c r="T37" s="2"/>
      <c r="U37" s="825"/>
      <c r="V37" s="825"/>
      <c r="W37" s="724"/>
      <c r="X37" s="1032"/>
      <c r="Y37" s="105" t="s">
        <v>425</v>
      </c>
      <c r="Z37" s="822"/>
      <c r="AA37" s="823"/>
      <c r="AB37" s="822"/>
      <c r="AC37" s="824"/>
      <c r="AD37" s="106"/>
      <c r="AE37" s="826"/>
      <c r="AF37" s="2"/>
      <c r="AG37" s="825"/>
      <c r="AH37" s="825"/>
      <c r="AI37" s="724"/>
    </row>
    <row r="38" spans="1:35" s="51" customFormat="1" ht="16.350000000000001" customHeight="1">
      <c r="A38" s="358" t="s">
        <v>13</v>
      </c>
      <c r="B38" s="585">
        <f>VLOOKUP(A38,NitrogenStabilizers,14,FALSE)</f>
        <v>0</v>
      </c>
      <c r="C38" s="586">
        <f>VLOOKUP(A38,NitrogenStabilizers,15,FALSE)</f>
        <v>0</v>
      </c>
      <c r="D38" s="585">
        <f>VLOOKUP(A38,NitrogenStabilizers,16,FALSE)</f>
        <v>1</v>
      </c>
      <c r="E38" s="587">
        <v>0</v>
      </c>
      <c r="F38" s="588">
        <f>VLOOKUP(A38,NitrogenStabilizers,15,FALSE)</f>
        <v>0</v>
      </c>
      <c r="G38" s="736">
        <f>(E38*VLOOKUP(A38,NitrogenStabilizers,14,FALSE)/D38)*C38</f>
        <v>0</v>
      </c>
      <c r="H38" s="2"/>
      <c r="I38" s="2"/>
      <c r="J38" s="2"/>
      <c r="K38" s="598" t="s">
        <v>255</v>
      </c>
      <c r="L38" s="732"/>
      <c r="M38" s="358" t="s">
        <v>13</v>
      </c>
      <c r="N38" s="585">
        <f>VLOOKUP(M38,NitrogenStabilizers,14,FALSE)</f>
        <v>0</v>
      </c>
      <c r="O38" s="586">
        <f>VLOOKUP(M38,NitrogenStabilizers,15,FALSE)</f>
        <v>0</v>
      </c>
      <c r="P38" s="585">
        <f>VLOOKUP(M38,NitrogenStabilizers,16,FALSE)</f>
        <v>1</v>
      </c>
      <c r="Q38" s="587">
        <v>0</v>
      </c>
      <c r="R38" s="588">
        <f>VLOOKUP(M38,NitrogenStabilizers,15,FALSE)</f>
        <v>0</v>
      </c>
      <c r="S38" s="736">
        <f>(Q38*VLOOKUP(M38,NitrogenStabilizers,14,FALSE)/P38)*O38</f>
        <v>0</v>
      </c>
      <c r="T38" s="2"/>
      <c r="U38" s="2"/>
      <c r="V38" s="2"/>
      <c r="W38" s="598" t="s">
        <v>255</v>
      </c>
      <c r="X38" s="1032"/>
      <c r="Y38" s="358" t="s">
        <v>13</v>
      </c>
      <c r="Z38" s="585">
        <f>VLOOKUP(Y38,NitrogenStabilizers,14,FALSE)</f>
        <v>0</v>
      </c>
      <c r="AA38" s="586">
        <f>VLOOKUP(Y38,NitrogenStabilizers,15,FALSE)</f>
        <v>0</v>
      </c>
      <c r="AB38" s="585">
        <f>VLOOKUP(Y38,NitrogenStabilizers,16,FALSE)</f>
        <v>1</v>
      </c>
      <c r="AC38" s="587">
        <v>0</v>
      </c>
      <c r="AD38" s="588">
        <f>VLOOKUP(Y38,NitrogenStabilizers,15,FALSE)</f>
        <v>0</v>
      </c>
      <c r="AE38" s="736">
        <f>(AC38*VLOOKUP(Y38,NitrogenStabilizers,14,FALSE)/AB38)*AA38</f>
        <v>0</v>
      </c>
      <c r="AF38" s="2"/>
      <c r="AG38" s="2"/>
      <c r="AH38" s="2"/>
      <c r="AI38" s="598" t="s">
        <v>255</v>
      </c>
    </row>
    <row r="39" spans="1:35" s="51" customFormat="1" ht="16.350000000000001" customHeight="1" thickBot="1">
      <c r="A39" s="599" t="s">
        <v>127</v>
      </c>
      <c r="B39" s="600"/>
      <c r="C39" s="600"/>
      <c r="D39" s="600"/>
      <c r="E39" s="601"/>
      <c r="F39" s="600"/>
      <c r="G39" s="602">
        <f>SUM(G27:G38)</f>
        <v>0</v>
      </c>
      <c r="H39" s="2"/>
      <c r="I39" s="2"/>
      <c r="J39" s="2"/>
      <c r="K39" s="598" t="s">
        <v>256</v>
      </c>
      <c r="L39" s="732"/>
      <c r="M39" s="599" t="s">
        <v>127</v>
      </c>
      <c r="N39" s="600"/>
      <c r="O39" s="600"/>
      <c r="P39" s="600"/>
      <c r="Q39" s="601"/>
      <c r="R39" s="600"/>
      <c r="S39" s="602">
        <f>SUM(S27:S38)</f>
        <v>0</v>
      </c>
      <c r="T39" s="2"/>
      <c r="U39" s="2"/>
      <c r="V39" s="2"/>
      <c r="W39" s="598" t="s">
        <v>256</v>
      </c>
      <c r="X39" s="1032"/>
      <c r="Y39" s="599" t="s">
        <v>127</v>
      </c>
      <c r="Z39" s="600"/>
      <c r="AA39" s="600"/>
      <c r="AB39" s="600"/>
      <c r="AC39" s="601"/>
      <c r="AD39" s="600"/>
      <c r="AE39" s="602">
        <f>SUM(AE27:AE38)</f>
        <v>0</v>
      </c>
      <c r="AF39" s="2"/>
      <c r="AG39" s="2"/>
      <c r="AH39" s="2"/>
      <c r="AI39" s="598" t="s">
        <v>256</v>
      </c>
    </row>
    <row r="40" spans="1:35" s="51" customFormat="1" ht="16.350000000000001" customHeight="1" thickTop="1">
      <c r="A40" s="545"/>
      <c r="B40" s="118"/>
      <c r="C40" s="118"/>
      <c r="D40" s="118"/>
      <c r="E40" s="118"/>
      <c r="F40" s="118"/>
      <c r="G40" s="116"/>
      <c r="H40" s="2"/>
      <c r="I40" s="2"/>
      <c r="J40" s="2"/>
      <c r="K40" s="603" t="s">
        <v>254</v>
      </c>
      <c r="L40" s="732"/>
      <c r="M40" s="545"/>
      <c r="N40" s="118"/>
      <c r="O40" s="118"/>
      <c r="P40" s="118"/>
      <c r="Q40" s="118"/>
      <c r="R40" s="118"/>
      <c r="S40" s="116"/>
      <c r="T40" s="2"/>
      <c r="U40" s="2"/>
      <c r="V40" s="2"/>
      <c r="W40" s="603" t="s">
        <v>254</v>
      </c>
      <c r="X40" s="1032"/>
      <c r="Y40" s="545"/>
      <c r="Z40" s="118"/>
      <c r="AA40" s="118"/>
      <c r="AB40" s="118"/>
      <c r="AC40" s="118"/>
      <c r="AD40" s="118"/>
      <c r="AE40" s="116"/>
      <c r="AF40" s="2"/>
      <c r="AG40" s="2"/>
      <c r="AH40" s="2"/>
      <c r="AI40" s="603" t="s">
        <v>254</v>
      </c>
    </row>
    <row r="41" spans="1:35" s="51" customFormat="1" ht="16.350000000000001" customHeight="1" thickBot="1">
      <c r="A41" s="24"/>
      <c r="B41" s="97"/>
      <c r="C41" s="97"/>
      <c r="D41" s="97"/>
      <c r="E41" s="97"/>
      <c r="F41" s="97"/>
      <c r="G41" s="97"/>
      <c r="H41" s="97"/>
      <c r="I41" s="97"/>
      <c r="J41" s="97"/>
      <c r="K41" s="604"/>
      <c r="L41" s="732"/>
      <c r="M41" s="24"/>
      <c r="N41" s="97"/>
      <c r="O41" s="97"/>
      <c r="P41" s="97"/>
      <c r="Q41" s="97"/>
      <c r="R41" s="97"/>
      <c r="S41" s="97"/>
      <c r="T41" s="97"/>
      <c r="U41" s="97"/>
      <c r="V41" s="97"/>
      <c r="W41" s="604"/>
      <c r="X41" s="1032"/>
      <c r="Y41" s="24"/>
      <c r="Z41" s="97"/>
      <c r="AA41" s="97"/>
      <c r="AB41" s="97"/>
      <c r="AC41" s="97"/>
      <c r="AD41" s="97"/>
      <c r="AE41" s="97"/>
      <c r="AF41" s="97"/>
      <c r="AG41" s="97"/>
      <c r="AH41" s="97"/>
      <c r="AI41" s="604"/>
    </row>
    <row r="42" spans="1:35" s="51" customFormat="1" ht="16.350000000000001" customHeight="1" thickBot="1">
      <c r="A42" s="1026" t="s">
        <v>939</v>
      </c>
      <c r="B42" s="1027"/>
      <c r="C42" s="1027"/>
      <c r="D42" s="1027"/>
      <c r="E42" s="1027"/>
      <c r="F42" s="1027"/>
      <c r="G42" s="1027"/>
      <c r="H42" s="1027"/>
      <c r="I42" s="1027"/>
      <c r="J42" s="1027"/>
      <c r="K42" s="1028"/>
      <c r="L42" s="732"/>
      <c r="M42" s="1026" t="s">
        <v>939</v>
      </c>
      <c r="N42" s="1027"/>
      <c r="O42" s="1027"/>
      <c r="P42" s="1027"/>
      <c r="Q42" s="1027"/>
      <c r="R42" s="1027"/>
      <c r="S42" s="1027"/>
      <c r="T42" s="1027"/>
      <c r="U42" s="1027"/>
      <c r="V42" s="1027"/>
      <c r="W42" s="1028"/>
      <c r="X42" s="1032"/>
      <c r="Y42" s="1026" t="s">
        <v>939</v>
      </c>
      <c r="Z42" s="1027"/>
      <c r="AA42" s="1027"/>
      <c r="AB42" s="1027"/>
      <c r="AC42" s="1027"/>
      <c r="AD42" s="1027"/>
      <c r="AE42" s="1027"/>
      <c r="AF42" s="1027"/>
      <c r="AG42" s="1027"/>
      <c r="AH42" s="1027"/>
      <c r="AI42" s="1028"/>
    </row>
    <row r="43" spans="1:35" s="51" customFormat="1" ht="16.350000000000001" customHeight="1">
      <c r="A43" s="810" t="s">
        <v>126</v>
      </c>
      <c r="B43" s="811" t="s">
        <v>106</v>
      </c>
      <c r="C43" s="812" t="s">
        <v>107</v>
      </c>
      <c r="D43" s="813" t="s">
        <v>12</v>
      </c>
      <c r="E43" s="813" t="s">
        <v>108</v>
      </c>
      <c r="F43" s="811" t="s">
        <v>11</v>
      </c>
      <c r="G43" s="813" t="s">
        <v>109</v>
      </c>
      <c r="H43" s="814"/>
      <c r="I43" s="814"/>
      <c r="J43" s="814"/>
      <c r="K43" s="815"/>
      <c r="L43" s="732"/>
      <c r="M43" s="810" t="s">
        <v>126</v>
      </c>
      <c r="N43" s="811" t="s">
        <v>106</v>
      </c>
      <c r="O43" s="812" t="s">
        <v>107</v>
      </c>
      <c r="P43" s="813" t="s">
        <v>12</v>
      </c>
      <c r="Q43" s="813" t="s">
        <v>108</v>
      </c>
      <c r="R43" s="811" t="s">
        <v>11</v>
      </c>
      <c r="S43" s="813" t="s">
        <v>109</v>
      </c>
      <c r="T43" s="814"/>
      <c r="U43" s="814"/>
      <c r="V43" s="814"/>
      <c r="W43" s="815"/>
      <c r="X43" s="1032"/>
      <c r="Y43" s="810" t="s">
        <v>126</v>
      </c>
      <c r="Z43" s="811" t="s">
        <v>106</v>
      </c>
      <c r="AA43" s="812" t="s">
        <v>107</v>
      </c>
      <c r="AB43" s="813" t="s">
        <v>12</v>
      </c>
      <c r="AC43" s="813" t="s">
        <v>108</v>
      </c>
      <c r="AD43" s="811" t="s">
        <v>11</v>
      </c>
      <c r="AE43" s="813" t="s">
        <v>109</v>
      </c>
      <c r="AF43" s="814"/>
      <c r="AG43" s="814"/>
      <c r="AH43" s="814"/>
      <c r="AI43" s="815"/>
    </row>
    <row r="44" spans="1:35" s="51" customFormat="1" ht="16.350000000000001" customHeight="1">
      <c r="A44" s="105" t="s">
        <v>500</v>
      </c>
      <c r="B44" s="48"/>
      <c r="C44" s="820"/>
      <c r="D44" s="36"/>
      <c r="E44" s="45" t="s">
        <v>128</v>
      </c>
      <c r="F44" s="41"/>
      <c r="G44" s="38"/>
      <c r="H44" s="2"/>
      <c r="I44" s="607" t="s">
        <v>96</v>
      </c>
      <c r="J44" s="607" t="s">
        <v>97</v>
      </c>
      <c r="K44" s="608" t="s">
        <v>98</v>
      </c>
      <c r="L44" s="732"/>
      <c r="M44" s="105" t="s">
        <v>500</v>
      </c>
      <c r="N44" s="48"/>
      <c r="O44" s="820"/>
      <c r="P44" s="36"/>
      <c r="Q44" s="45" t="s">
        <v>128</v>
      </c>
      <c r="R44" s="41"/>
      <c r="S44" s="38"/>
      <c r="T44" s="2"/>
      <c r="U44" s="607" t="s">
        <v>96</v>
      </c>
      <c r="V44" s="607" t="s">
        <v>97</v>
      </c>
      <c r="W44" s="608" t="s">
        <v>98</v>
      </c>
      <c r="X44" s="1032"/>
      <c r="Y44" s="105" t="s">
        <v>500</v>
      </c>
      <c r="Z44" s="48"/>
      <c r="AA44" s="820"/>
      <c r="AB44" s="36"/>
      <c r="AC44" s="45" t="s">
        <v>128</v>
      </c>
      <c r="AD44" s="41"/>
      <c r="AE44" s="38"/>
      <c r="AF44" s="2"/>
      <c r="AG44" s="607" t="s">
        <v>96</v>
      </c>
      <c r="AH44" s="607" t="s">
        <v>97</v>
      </c>
      <c r="AI44" s="608" t="s">
        <v>98</v>
      </c>
    </row>
    <row r="45" spans="1:35" s="51" customFormat="1" ht="16.350000000000001" customHeight="1">
      <c r="A45" s="584" t="s">
        <v>13</v>
      </c>
      <c r="B45" s="585">
        <f t="shared" ref="B45:B47" si="30">VLOOKUP(A45,Macronutrients,14,FALSE)</f>
        <v>0</v>
      </c>
      <c r="C45" s="586">
        <f t="shared" ref="C45:C47" si="31">VLOOKUP(A45,Macronutrients,18,FALSE)</f>
        <v>0</v>
      </c>
      <c r="D45" s="585">
        <f t="shared" ref="D45:D47" si="32">VLOOKUP(A45,Macronutrients,16,FALSE)</f>
        <v>1</v>
      </c>
      <c r="E45" s="587">
        <v>0</v>
      </c>
      <c r="F45" s="588">
        <f t="shared" ref="F45:F47" si="33">VLOOKUP(A45,Macronutrients,15,FALSE)</f>
        <v>0</v>
      </c>
      <c r="G45" s="736">
        <f t="shared" ref="G45:G47" si="34">(E45*VLOOKUP(A45,Macronutrients,14,FALSE)/D45)*C45</f>
        <v>0</v>
      </c>
      <c r="H45" s="2"/>
      <c r="I45" s="725">
        <f>VLOOKUP(A45,Macronutrients,2,FALSE)*E45+VLOOKUP(A46,Macronutrients,2,FALSE)*E46+VLOOKUP(A47,Macronutrients,2,FALSE)*E47+VLOOKUP(A50,Micronutrients,2,FALSE)*E50+VLOOKUP(A51,Micronutrients,2,FALSE)*E51+VLOOKUP(A52,Micronutrients,2,FALSE)*E52</f>
        <v>0</v>
      </c>
      <c r="J45" s="589">
        <f>VLOOKUP(A45,Macronutrients,3,FALSE)*E45+VLOOKUP(A46,Macronutrients,3,FALSE)*E46+VLOOKUP(A47,Macronutrients,3,FALSE)*E47+VLOOKUP(A50,Micronutrients,3,FALSE)*E50+VLOOKUP(A51,Micronutrients,3,FALSE)*E51+VLOOKUP(A52,Micronutrients,3,FALSE)*E52</f>
        <v>0</v>
      </c>
      <c r="K45" s="590">
        <f>VLOOKUP(A45,Macronutrients,4,FALSE)*E45+VLOOKUP(A46,Macronutrients,4,FALSE)*E46+VLOOKUP(A47,Macronutrients,4,FALSE)*E47+VLOOKUP(A50,Micronutrients,4,FALSE)*E50+VLOOKUP(A51,Micronutrients,4,FALSE)*E51+VLOOKUP(A52,Micronutrients,4,FALSE)*E52</f>
        <v>0</v>
      </c>
      <c r="L45" s="732"/>
      <c r="M45" s="584" t="s">
        <v>13</v>
      </c>
      <c r="N45" s="585">
        <f t="shared" ref="N45:N47" si="35">VLOOKUP(M45,Macronutrients,14,FALSE)</f>
        <v>0</v>
      </c>
      <c r="O45" s="586">
        <f t="shared" ref="O45:O47" si="36">VLOOKUP(M45,Macronutrients,18,FALSE)</f>
        <v>0</v>
      </c>
      <c r="P45" s="585">
        <f t="shared" ref="P45:P47" si="37">VLOOKUP(M45,Macronutrients,16,FALSE)</f>
        <v>1</v>
      </c>
      <c r="Q45" s="587">
        <v>0</v>
      </c>
      <c r="R45" s="588">
        <f t="shared" ref="R45:R47" si="38">VLOOKUP(M45,Macronutrients,15,FALSE)</f>
        <v>0</v>
      </c>
      <c r="S45" s="736">
        <f t="shared" ref="S45:S47" si="39">(Q45*VLOOKUP(M45,Macronutrients,14,FALSE)/P45)*O45</f>
        <v>0</v>
      </c>
      <c r="T45" s="2"/>
      <c r="U45" s="725">
        <f>VLOOKUP(M45,Macronutrients,2,FALSE)*Q45+VLOOKUP(M46,Macronutrients,2,FALSE)*Q46+VLOOKUP(M47,Macronutrients,2,FALSE)*Q47+VLOOKUP(M50,Micronutrients,2,FALSE)*Q50+VLOOKUP(M51,Micronutrients,2,FALSE)*Q51+VLOOKUP(M52,Micronutrients,2,FALSE)*Q52</f>
        <v>0</v>
      </c>
      <c r="V45" s="589">
        <f>VLOOKUP(M45,Macronutrients,3,FALSE)*Q45+VLOOKUP(M46,Macronutrients,3,FALSE)*Q46+VLOOKUP(M47,Macronutrients,3,FALSE)*Q47+VLOOKUP(M50,Micronutrients,3,FALSE)*Q50+VLOOKUP(M51,Micronutrients,3,FALSE)*Q51+VLOOKUP(M52,Micronutrients,3,FALSE)*Q52</f>
        <v>0</v>
      </c>
      <c r="W45" s="590">
        <f>VLOOKUP(M45,Macronutrients,4,FALSE)*Q45+VLOOKUP(M46,Macronutrients,4,FALSE)*Q46+VLOOKUP(M47,Macronutrients,4,FALSE)*Q47+VLOOKUP(M50,Micronutrients,4,FALSE)*Q50+VLOOKUP(M51,Micronutrients,4,FALSE)*Q51+VLOOKUP(M52,Micronutrients,4,FALSE)*Q52</f>
        <v>0</v>
      </c>
      <c r="X45" s="1032"/>
      <c r="Y45" s="584" t="s">
        <v>13</v>
      </c>
      <c r="Z45" s="585">
        <f t="shared" ref="Z45:Z47" si="40">VLOOKUP(Y45,Macronutrients,14,FALSE)</f>
        <v>0</v>
      </c>
      <c r="AA45" s="586">
        <f t="shared" ref="AA45:AA47" si="41">VLOOKUP(Y45,Macronutrients,18,FALSE)</f>
        <v>0</v>
      </c>
      <c r="AB45" s="585">
        <f t="shared" ref="AB45:AB47" si="42">VLOOKUP(Y45,Macronutrients,16,FALSE)</f>
        <v>1</v>
      </c>
      <c r="AC45" s="587">
        <v>0</v>
      </c>
      <c r="AD45" s="588">
        <f t="shared" ref="AD45:AD47" si="43">VLOOKUP(Y45,Macronutrients,15,FALSE)</f>
        <v>0</v>
      </c>
      <c r="AE45" s="736">
        <f t="shared" ref="AE45:AE47" si="44">(AC45*VLOOKUP(Y45,Macronutrients,14,FALSE)/AB45)*AA45</f>
        <v>0</v>
      </c>
      <c r="AF45" s="2"/>
      <c r="AG45" s="725">
        <f>VLOOKUP(Y45,Macronutrients,2,FALSE)*AC45+VLOOKUP(Y46,Macronutrients,2,FALSE)*AC46+VLOOKUP(Y47,Macronutrients,2,FALSE)*AC47+VLOOKUP(Y50,Micronutrients,2,FALSE)*AC50+VLOOKUP(Y51,Micronutrients,2,FALSE)*AC51+VLOOKUP(Y52,Micronutrients,2,FALSE)*AC52</f>
        <v>0</v>
      </c>
      <c r="AH45" s="589">
        <f>VLOOKUP(Y45,Macronutrients,3,FALSE)*AC45+VLOOKUP(Y46,Macronutrients,3,FALSE)*AC46+VLOOKUP(Y47,Macronutrients,3,FALSE)*AC47+VLOOKUP(Y50,Micronutrients,3,FALSE)*AC50+VLOOKUP(Y51,Micronutrients,3,FALSE)*AC51+VLOOKUP(Y52,Micronutrients,3,FALSE)*AC52</f>
        <v>0</v>
      </c>
      <c r="AI45" s="590">
        <f>VLOOKUP(Y45,Macronutrients,4,FALSE)*AC45+VLOOKUP(Y46,Macronutrients,4,FALSE)*AC46+VLOOKUP(Y47,Macronutrients,4,FALSE)*AC47+VLOOKUP(Y50,Micronutrients,4,FALSE)*AC50+VLOOKUP(Y51,Micronutrients,4,FALSE)*AC51+VLOOKUP(Y52,Micronutrients,4,FALSE)*AC52</f>
        <v>0</v>
      </c>
    </row>
    <row r="46" spans="1:35" s="51" customFormat="1" ht="16.350000000000001" customHeight="1">
      <c r="A46" s="584" t="s">
        <v>13</v>
      </c>
      <c r="B46" s="585">
        <f t="shared" si="30"/>
        <v>0</v>
      </c>
      <c r="C46" s="586">
        <f t="shared" si="31"/>
        <v>0</v>
      </c>
      <c r="D46" s="585">
        <f t="shared" si="32"/>
        <v>1</v>
      </c>
      <c r="E46" s="587">
        <v>0</v>
      </c>
      <c r="F46" s="588">
        <f t="shared" si="33"/>
        <v>0</v>
      </c>
      <c r="G46" s="736">
        <f t="shared" si="34"/>
        <v>0</v>
      </c>
      <c r="H46" s="2"/>
      <c r="I46" s="592"/>
      <c r="J46" s="592"/>
      <c r="K46" s="593"/>
      <c r="L46" s="732"/>
      <c r="M46" s="584" t="s">
        <v>13</v>
      </c>
      <c r="N46" s="585">
        <f t="shared" si="35"/>
        <v>0</v>
      </c>
      <c r="O46" s="586">
        <f t="shared" si="36"/>
        <v>0</v>
      </c>
      <c r="P46" s="585">
        <f t="shared" si="37"/>
        <v>1</v>
      </c>
      <c r="Q46" s="587">
        <v>0</v>
      </c>
      <c r="R46" s="588">
        <f t="shared" si="38"/>
        <v>0</v>
      </c>
      <c r="S46" s="736">
        <f t="shared" si="39"/>
        <v>0</v>
      </c>
      <c r="T46" s="2"/>
      <c r="U46" s="592"/>
      <c r="V46" s="592"/>
      <c r="W46" s="593"/>
      <c r="X46" s="1032"/>
      <c r="Y46" s="584" t="s">
        <v>13</v>
      </c>
      <c r="Z46" s="585">
        <f t="shared" si="40"/>
        <v>0</v>
      </c>
      <c r="AA46" s="586">
        <f t="shared" si="41"/>
        <v>0</v>
      </c>
      <c r="AB46" s="585">
        <f t="shared" si="42"/>
        <v>1</v>
      </c>
      <c r="AC46" s="587">
        <v>0</v>
      </c>
      <c r="AD46" s="588">
        <f t="shared" si="43"/>
        <v>0</v>
      </c>
      <c r="AE46" s="736">
        <f t="shared" si="44"/>
        <v>0</v>
      </c>
      <c r="AF46" s="2"/>
      <c r="AG46" s="592"/>
      <c r="AH46" s="592"/>
      <c r="AI46" s="593"/>
    </row>
    <row r="47" spans="1:35" s="51" customFormat="1" ht="16.350000000000001" customHeight="1">
      <c r="A47" s="584" t="s">
        <v>13</v>
      </c>
      <c r="B47" s="585">
        <f t="shared" si="30"/>
        <v>0</v>
      </c>
      <c r="C47" s="586">
        <f t="shared" si="31"/>
        <v>0</v>
      </c>
      <c r="D47" s="585">
        <f t="shared" si="32"/>
        <v>1</v>
      </c>
      <c r="E47" s="587">
        <v>0</v>
      </c>
      <c r="F47" s="588">
        <f t="shared" si="33"/>
        <v>0</v>
      </c>
      <c r="G47" s="736">
        <f t="shared" si="34"/>
        <v>0</v>
      </c>
      <c r="I47" s="607" t="s">
        <v>99</v>
      </c>
      <c r="J47" s="607" t="s">
        <v>100</v>
      </c>
      <c r="K47" s="608" t="s">
        <v>101</v>
      </c>
      <c r="L47" s="732"/>
      <c r="M47" s="584" t="s">
        <v>13</v>
      </c>
      <c r="N47" s="585">
        <f t="shared" si="35"/>
        <v>0</v>
      </c>
      <c r="O47" s="586">
        <f t="shared" si="36"/>
        <v>0</v>
      </c>
      <c r="P47" s="585">
        <f t="shared" si="37"/>
        <v>1</v>
      </c>
      <c r="Q47" s="587">
        <v>0</v>
      </c>
      <c r="R47" s="588">
        <f t="shared" si="38"/>
        <v>0</v>
      </c>
      <c r="S47" s="736">
        <f t="shared" si="39"/>
        <v>0</v>
      </c>
      <c r="U47" s="607" t="s">
        <v>99</v>
      </c>
      <c r="V47" s="607" t="s">
        <v>100</v>
      </c>
      <c r="W47" s="608" t="s">
        <v>101</v>
      </c>
      <c r="X47" s="1032"/>
      <c r="Y47" s="584" t="s">
        <v>13</v>
      </c>
      <c r="Z47" s="585">
        <f t="shared" si="40"/>
        <v>0</v>
      </c>
      <c r="AA47" s="586">
        <f t="shared" si="41"/>
        <v>0</v>
      </c>
      <c r="AB47" s="585">
        <f t="shared" si="42"/>
        <v>1</v>
      </c>
      <c r="AC47" s="587">
        <v>0</v>
      </c>
      <c r="AD47" s="588">
        <f t="shared" si="43"/>
        <v>0</v>
      </c>
      <c r="AE47" s="736">
        <f t="shared" si="44"/>
        <v>0</v>
      </c>
      <c r="AG47" s="607" t="s">
        <v>99</v>
      </c>
      <c r="AH47" s="607" t="s">
        <v>100</v>
      </c>
      <c r="AI47" s="608" t="s">
        <v>101</v>
      </c>
    </row>
    <row r="48" spans="1:35" s="51" customFormat="1" ht="16.350000000000001" customHeight="1">
      <c r="A48" s="595"/>
      <c r="B48" s="38"/>
      <c r="C48" s="586"/>
      <c r="D48" s="588"/>
      <c r="E48" s="111"/>
      <c r="F48" s="588"/>
      <c r="G48" s="736"/>
      <c r="H48" s="2"/>
      <c r="I48" s="589">
        <f>VLOOKUP(A45,Macronutrients,5,FALSE)*E45+VLOOKUP(A46,Macronutrients,5,FALSE)*E46+VLOOKUP(A47,Macronutrients,5,FALSE)*E47+VLOOKUP(A50,Micronutrients,5,FALSE)*E50+VLOOKUP(A51,Micronutrients,5,FALSE)*E51+VLOOKUP(A52,Micronutrients,5,FALSE)*E52</f>
        <v>0</v>
      </c>
      <c r="J48" s="589">
        <f>VLOOKUP(A45,Macronutrients,7,FALSE)*E45+VLOOKUP(A46,Macronutrients,7,FALSE)*E46+VLOOKUP(A47,Macronutrients,7,FALSE)*E47+VLOOKUP(A50,Micronutrients,7,FALSE)*E50+VLOOKUP(A51,Micronutrients,7,FALSE)*E51+VLOOKUP(A52,Micronutrients,7,FALSE)*E52</f>
        <v>0</v>
      </c>
      <c r="K48" s="590">
        <f>VLOOKUP($A45,Macronutrients,6,FALSE)*$E$6+VLOOKUP($A46,Macronutrients,6,FALSE)*$E$7+VLOOKUP($A47,Macronutrients,6,FALSE)*$E$8+VLOOKUP($A50,Micronutrients,6,FALSE)*$E$11+VLOOKUP($A51,Micronutrients,6,FALSE)*E51+VLOOKUP($A52,Micronutrients,6,FALSE)*$E$13</f>
        <v>0</v>
      </c>
      <c r="L48" s="732"/>
      <c r="M48" s="595"/>
      <c r="N48" s="38"/>
      <c r="O48" s="586"/>
      <c r="P48" s="588"/>
      <c r="Q48" s="111"/>
      <c r="R48" s="588"/>
      <c r="S48" s="736"/>
      <c r="T48" s="2"/>
      <c r="U48" s="589">
        <f>VLOOKUP(M45,Macronutrients,5,FALSE)*Q45+VLOOKUP(M46,Macronutrients,5,FALSE)*Q46+VLOOKUP(M47,Macronutrients,5,FALSE)*Q47+VLOOKUP(M50,Micronutrients,5,FALSE)*Q50+VLOOKUP(M51,Micronutrients,5,FALSE)*Q51+VLOOKUP(M52,Micronutrients,5,FALSE)*Q52</f>
        <v>0</v>
      </c>
      <c r="V48" s="589">
        <f>VLOOKUP(M45,Macronutrients,7,FALSE)*Q45+VLOOKUP(M46,Macronutrients,7,FALSE)*Q46+VLOOKUP(M47,Macronutrients,7,FALSE)*Q47+VLOOKUP(M50,Micronutrients,7,FALSE)*Q50+VLOOKUP(M51,Micronutrients,7,FALSE)*Q51+VLOOKUP(M52,Micronutrients,7,FALSE)*Q52</f>
        <v>0</v>
      </c>
      <c r="W48" s="590">
        <f>VLOOKUP($A45,Macronutrients,6,FALSE)*$E$6+VLOOKUP($A46,Macronutrients,6,FALSE)*$E$7+VLOOKUP($A47,Macronutrients,6,FALSE)*$E$8+VLOOKUP($A50,Micronutrients,6,FALSE)*$E$11+VLOOKUP($A51,Micronutrients,6,FALSE)*Q51+VLOOKUP($A52,Micronutrients,6,FALSE)*$E$13</f>
        <v>0</v>
      </c>
      <c r="X48" s="1032"/>
      <c r="Y48" s="595"/>
      <c r="Z48" s="38"/>
      <c r="AA48" s="586"/>
      <c r="AB48" s="588"/>
      <c r="AC48" s="111"/>
      <c r="AD48" s="588"/>
      <c r="AE48" s="736"/>
      <c r="AF48" s="2"/>
      <c r="AG48" s="589">
        <f>VLOOKUP(Y45,Macronutrients,5,FALSE)*AC45+VLOOKUP(Y46,Macronutrients,5,FALSE)*AC46+VLOOKUP(Y47,Macronutrients,5,FALSE)*AC47+VLOOKUP(Y50,Micronutrients,5,FALSE)*AC50+VLOOKUP(Y51,Micronutrients,5,FALSE)*AC51+VLOOKUP(Y52,Micronutrients,5,FALSE)*AC52</f>
        <v>0</v>
      </c>
      <c r="AH48" s="589">
        <f>VLOOKUP(Y45,Macronutrients,7,FALSE)*AC45+VLOOKUP(Y46,Macronutrients,7,FALSE)*AC46+VLOOKUP(Y47,Macronutrients,7,FALSE)*AC47+VLOOKUP(Y50,Micronutrients,7,FALSE)*AC50+VLOOKUP(Y51,Micronutrients,7,FALSE)*AC51+VLOOKUP(Y52,Micronutrients,7,FALSE)*AC52</f>
        <v>0</v>
      </c>
      <c r="AI48" s="590">
        <f>VLOOKUP($A45,Macronutrients,6,FALSE)*$E$6+VLOOKUP($A46,Macronutrients,6,FALSE)*$E$7+VLOOKUP($A47,Macronutrients,6,FALSE)*$E$8+VLOOKUP($A50,Micronutrients,6,FALSE)*$E$11+VLOOKUP($A51,Micronutrients,6,FALSE)*AC51+VLOOKUP($A52,Micronutrients,6,FALSE)*$E$13</f>
        <v>0</v>
      </c>
    </row>
    <row r="49" spans="1:35" s="51" customFormat="1" ht="16.350000000000001" customHeight="1">
      <c r="A49" s="105" t="s">
        <v>501</v>
      </c>
      <c r="B49" s="821"/>
      <c r="C49" s="586"/>
      <c r="D49" s="821"/>
      <c r="E49" s="596"/>
      <c r="F49" s="48"/>
      <c r="G49" s="736"/>
      <c r="H49" s="2"/>
      <c r="I49" s="592"/>
      <c r="J49" s="592"/>
      <c r="K49" s="593"/>
      <c r="L49" s="732"/>
      <c r="M49" s="105" t="s">
        <v>501</v>
      </c>
      <c r="N49" s="821"/>
      <c r="O49" s="586"/>
      <c r="P49" s="821"/>
      <c r="Q49" s="596"/>
      <c r="R49" s="48"/>
      <c r="S49" s="736"/>
      <c r="T49" s="2"/>
      <c r="U49" s="592"/>
      <c r="V49" s="592"/>
      <c r="W49" s="593"/>
      <c r="X49" s="1032"/>
      <c r="Y49" s="105" t="s">
        <v>501</v>
      </c>
      <c r="Z49" s="821"/>
      <c r="AA49" s="586"/>
      <c r="AB49" s="821"/>
      <c r="AC49" s="596"/>
      <c r="AD49" s="48"/>
      <c r="AE49" s="736"/>
      <c r="AF49" s="2"/>
      <c r="AG49" s="592"/>
      <c r="AH49" s="592"/>
      <c r="AI49" s="593"/>
    </row>
    <row r="50" spans="1:35" s="51" customFormat="1" ht="16.350000000000001" customHeight="1">
      <c r="A50" s="584" t="s">
        <v>13</v>
      </c>
      <c r="B50" s="585">
        <f>VLOOKUP($A50,Micronutrients,14,FALSE)</f>
        <v>0</v>
      </c>
      <c r="C50" s="586">
        <f>VLOOKUP(A50,Micronutrients,18,FALSE)</f>
        <v>0</v>
      </c>
      <c r="D50" s="585">
        <f>VLOOKUP(A50,Micronutrients,16,FALSE)</f>
        <v>1</v>
      </c>
      <c r="E50" s="587">
        <v>0</v>
      </c>
      <c r="F50" s="588">
        <f>VLOOKUP(A50,Micronutrients,15,FALSE)</f>
        <v>0</v>
      </c>
      <c r="G50" s="736">
        <f>(E50*VLOOKUP(A50,Micronutrients,14,FALSE)/D50)*C50</f>
        <v>0</v>
      </c>
      <c r="H50" s="2"/>
      <c r="I50" s="607" t="s">
        <v>102</v>
      </c>
      <c r="J50" s="607" t="s">
        <v>103</v>
      </c>
      <c r="K50" s="608" t="s">
        <v>104</v>
      </c>
      <c r="L50" s="732"/>
      <c r="M50" s="584" t="s">
        <v>13</v>
      </c>
      <c r="N50" s="585">
        <f>VLOOKUP($A50,Micronutrients,14,FALSE)</f>
        <v>0</v>
      </c>
      <c r="O50" s="586">
        <f>VLOOKUP(M50,Micronutrients,18,FALSE)</f>
        <v>0</v>
      </c>
      <c r="P50" s="585">
        <f>VLOOKUP(M50,Micronutrients,16,FALSE)</f>
        <v>1</v>
      </c>
      <c r="Q50" s="587">
        <v>0</v>
      </c>
      <c r="R50" s="588">
        <f>VLOOKUP(M50,Micronutrients,15,FALSE)</f>
        <v>0</v>
      </c>
      <c r="S50" s="736">
        <f>(Q50*VLOOKUP(M50,Micronutrients,14,FALSE)/P50)*O50</f>
        <v>0</v>
      </c>
      <c r="T50" s="2"/>
      <c r="U50" s="607" t="s">
        <v>102</v>
      </c>
      <c r="V50" s="607" t="s">
        <v>103</v>
      </c>
      <c r="W50" s="608" t="s">
        <v>104</v>
      </c>
      <c r="X50" s="1032"/>
      <c r="Y50" s="584" t="s">
        <v>13</v>
      </c>
      <c r="Z50" s="585">
        <f>VLOOKUP($A50,Micronutrients,14,FALSE)</f>
        <v>0</v>
      </c>
      <c r="AA50" s="586">
        <f>VLOOKUP(Y50,Micronutrients,18,FALSE)</f>
        <v>0</v>
      </c>
      <c r="AB50" s="585">
        <f>VLOOKUP(Y50,Micronutrients,16,FALSE)</f>
        <v>1</v>
      </c>
      <c r="AC50" s="587">
        <v>0</v>
      </c>
      <c r="AD50" s="588">
        <f>VLOOKUP(Y50,Micronutrients,15,FALSE)</f>
        <v>0</v>
      </c>
      <c r="AE50" s="736">
        <f>(AC50*VLOOKUP(Y50,Micronutrients,14,FALSE)/AB50)*AA50</f>
        <v>0</v>
      </c>
      <c r="AF50" s="2"/>
      <c r="AG50" s="607" t="s">
        <v>102</v>
      </c>
      <c r="AH50" s="607" t="s">
        <v>103</v>
      </c>
      <c r="AI50" s="608" t="s">
        <v>104</v>
      </c>
    </row>
    <row r="51" spans="1:35" s="51" customFormat="1" ht="16.350000000000001" customHeight="1">
      <c r="A51" s="584" t="s">
        <v>13</v>
      </c>
      <c r="B51" s="585">
        <f>VLOOKUP($A51,Micronutrients,14,FALSE)</f>
        <v>0</v>
      </c>
      <c r="C51" s="586">
        <f>VLOOKUP(A51,Micronutrients,18,FALSE)</f>
        <v>0</v>
      </c>
      <c r="D51" s="585">
        <f>VLOOKUP(A51,Micronutrients,16,FALSE)</f>
        <v>1</v>
      </c>
      <c r="E51" s="587">
        <v>0</v>
      </c>
      <c r="F51" s="588">
        <f>VLOOKUP(A51,Micronutrients,15,FALSE)</f>
        <v>0</v>
      </c>
      <c r="G51" s="736">
        <f>(E51*VLOOKUP(A51,Micronutrients,14,FALSE)/D51)*C51</f>
        <v>0</v>
      </c>
      <c r="H51" s="2"/>
      <c r="I51" s="722">
        <f>VLOOKUP(A45,Macronutrients,8,FALSE)*E45+VLOOKUP(A46,Macronutrients,8,FALSE)*E46+VLOOKUP(A47,Macronutrients,8,FALSE)*E47+VLOOKUP(A50,Micronutrients,8,FALSE)*E50+VLOOKUP(A51,Micronutrients,8,FALSE)*E51+VLOOKUP(A52,Micronutrients,8,FALSE)*E52</f>
        <v>0</v>
      </c>
      <c r="J51" s="722">
        <f>VLOOKUP(A45,Macronutrients,9,FALSE)*E45+VLOOKUP(A46,Macronutrients,9,FALSE)*E46+VLOOKUP(A47,Macronutrients,9,FALSE)*E47+VLOOKUP(A50,Micronutrients,9,FALSE)*E50+VLOOKUP(A51,Micronutrients,9,FALSE)*E51+VLOOKUP(A52,Micronutrients,9,FALSE)*E52</f>
        <v>0</v>
      </c>
      <c r="K51" s="723">
        <f>VLOOKUP(A45,Macronutrients,10,FALSE)*E45+VLOOKUP(A46,Macronutrients,10,FALSE)*E46+VLOOKUP(A47,Macronutrients,10,FALSE)*E47+VLOOKUP(A50,Micronutrients,10,FALSE)*E50+VLOOKUP(A51,Micronutrients,10,FALSE)*E51+VLOOKUP(A52,Micronutrients,10,FALSE)*E52</f>
        <v>0</v>
      </c>
      <c r="L51" s="732"/>
      <c r="M51" s="584" t="s">
        <v>13</v>
      </c>
      <c r="N51" s="585">
        <f>VLOOKUP($A51,Micronutrients,14,FALSE)</f>
        <v>0</v>
      </c>
      <c r="O51" s="586">
        <f>VLOOKUP(M51,Micronutrients,18,FALSE)</f>
        <v>0</v>
      </c>
      <c r="P51" s="585">
        <f>VLOOKUP(M51,Micronutrients,16,FALSE)</f>
        <v>1</v>
      </c>
      <c r="Q51" s="587">
        <v>0</v>
      </c>
      <c r="R51" s="588">
        <f>VLOOKUP(M51,Micronutrients,15,FALSE)</f>
        <v>0</v>
      </c>
      <c r="S51" s="736">
        <f>(Q51*VLOOKUP(M51,Micronutrients,14,FALSE)/P51)*O51</f>
        <v>0</v>
      </c>
      <c r="T51" s="2"/>
      <c r="U51" s="722">
        <f>VLOOKUP(M45,Macronutrients,8,FALSE)*Q45+VLOOKUP(M46,Macronutrients,8,FALSE)*Q46+VLOOKUP(M47,Macronutrients,8,FALSE)*Q47+VLOOKUP(M50,Micronutrients,8,FALSE)*Q50+VLOOKUP(M51,Micronutrients,8,FALSE)*Q51+VLOOKUP(M52,Micronutrients,8,FALSE)*Q52</f>
        <v>0</v>
      </c>
      <c r="V51" s="722">
        <f>VLOOKUP(M45,Macronutrients,9,FALSE)*Q45+VLOOKUP(M46,Macronutrients,9,FALSE)*Q46+VLOOKUP(M47,Macronutrients,9,FALSE)*Q47+VLOOKUP(M50,Micronutrients,9,FALSE)*Q50+VLOOKUP(M51,Micronutrients,9,FALSE)*Q51+VLOOKUP(M52,Micronutrients,9,FALSE)*Q52</f>
        <v>0</v>
      </c>
      <c r="W51" s="723">
        <f>VLOOKUP(M45,Macronutrients,10,FALSE)*Q45+VLOOKUP(M46,Macronutrients,10,FALSE)*Q46+VLOOKUP(M47,Macronutrients,10,FALSE)*Q47+VLOOKUP(M50,Micronutrients,10,FALSE)*Q50+VLOOKUP(M51,Micronutrients,10,FALSE)*Q51+VLOOKUP(M52,Micronutrients,10,FALSE)*Q52</f>
        <v>0</v>
      </c>
      <c r="X51" s="1032"/>
      <c r="Y51" s="584" t="s">
        <v>13</v>
      </c>
      <c r="Z51" s="585">
        <f>VLOOKUP($A51,Micronutrients,14,FALSE)</f>
        <v>0</v>
      </c>
      <c r="AA51" s="586">
        <f>VLOOKUP(Y51,Micronutrients,18,FALSE)</f>
        <v>0</v>
      </c>
      <c r="AB51" s="585">
        <f>VLOOKUP(Y51,Micronutrients,16,FALSE)</f>
        <v>1</v>
      </c>
      <c r="AC51" s="587">
        <v>0</v>
      </c>
      <c r="AD51" s="588">
        <f>VLOOKUP(Y51,Micronutrients,15,FALSE)</f>
        <v>0</v>
      </c>
      <c r="AE51" s="736">
        <f>(AC51*VLOOKUP(Y51,Micronutrients,14,FALSE)/AB51)*AA51</f>
        <v>0</v>
      </c>
      <c r="AF51" s="2"/>
      <c r="AG51" s="722">
        <f>VLOOKUP(Y45,Macronutrients,8,FALSE)*AC45+VLOOKUP(Y46,Macronutrients,8,FALSE)*AC46+VLOOKUP(Y47,Macronutrients,8,FALSE)*AC47+VLOOKUP(Y50,Micronutrients,8,FALSE)*AC50+VLOOKUP(Y51,Micronutrients,8,FALSE)*AC51+VLOOKUP(Y52,Micronutrients,8,FALSE)*AC52</f>
        <v>0</v>
      </c>
      <c r="AH51" s="722">
        <f>VLOOKUP(Y45,Macronutrients,9,FALSE)*AC45+VLOOKUP(Y46,Macronutrients,9,FALSE)*AC46+VLOOKUP(Y47,Macronutrients,9,FALSE)*AC47+VLOOKUP(Y50,Micronutrients,9,FALSE)*AC50+VLOOKUP(Y51,Micronutrients,9,FALSE)*AC51+VLOOKUP(Y52,Micronutrients,9,FALSE)*AC52</f>
        <v>0</v>
      </c>
      <c r="AI51" s="723">
        <f>VLOOKUP(Y45,Macronutrients,10,FALSE)*AC45+VLOOKUP(Y46,Macronutrients,10,FALSE)*AC46+VLOOKUP(Y47,Macronutrients,10,FALSE)*AC47+VLOOKUP(Y50,Micronutrients,10,FALSE)*AC50+VLOOKUP(Y51,Micronutrients,10,FALSE)*AC51+VLOOKUP(Y52,Micronutrients,10,FALSE)*AC52</f>
        <v>0</v>
      </c>
    </row>
    <row r="52" spans="1:35" s="51" customFormat="1" ht="16.350000000000001" customHeight="1">
      <c r="A52" s="584" t="s">
        <v>13</v>
      </c>
      <c r="B52" s="585">
        <f>VLOOKUP($A52,Micronutrients,14,FALSE)</f>
        <v>0</v>
      </c>
      <c r="C52" s="586">
        <f>VLOOKUP(A52,Micronutrients,18,FALSE)</f>
        <v>0</v>
      </c>
      <c r="D52" s="585">
        <f>VLOOKUP(A52,Micronutrients,16,FALSE)</f>
        <v>1</v>
      </c>
      <c r="E52" s="587">
        <v>0</v>
      </c>
      <c r="F52" s="588">
        <f>VLOOKUP(A52,Micronutrients,15,FALSE)</f>
        <v>0</v>
      </c>
      <c r="G52" s="736">
        <f>(E52*VLOOKUP(A52,Micronutrients,14,FALSE)/D52)*C52</f>
        <v>0</v>
      </c>
      <c r="H52" s="2"/>
      <c r="I52" s="2"/>
      <c r="J52" s="2"/>
      <c r="K52" s="49"/>
      <c r="L52" s="732"/>
      <c r="M52" s="584" t="s">
        <v>13</v>
      </c>
      <c r="N52" s="585">
        <f>VLOOKUP($A52,Micronutrients,14,FALSE)</f>
        <v>0</v>
      </c>
      <c r="O52" s="586">
        <f>VLOOKUP(M52,Micronutrients,18,FALSE)</f>
        <v>0</v>
      </c>
      <c r="P52" s="585">
        <f>VLOOKUP(M52,Micronutrients,16,FALSE)</f>
        <v>1</v>
      </c>
      <c r="Q52" s="587">
        <v>0</v>
      </c>
      <c r="R52" s="588">
        <f>VLOOKUP(M52,Micronutrients,15,FALSE)</f>
        <v>0</v>
      </c>
      <c r="S52" s="736">
        <f>(Q52*VLOOKUP(M52,Micronutrients,14,FALSE)/P52)*O52</f>
        <v>0</v>
      </c>
      <c r="T52" s="2"/>
      <c r="U52" s="2"/>
      <c r="V52" s="2"/>
      <c r="W52" s="49"/>
      <c r="X52" s="1032"/>
      <c r="Y52" s="584" t="s">
        <v>13</v>
      </c>
      <c r="Z52" s="585">
        <f>VLOOKUP($A52,Micronutrients,14,FALSE)</f>
        <v>0</v>
      </c>
      <c r="AA52" s="586">
        <f>VLOOKUP(Y52,Micronutrients,18,FALSE)</f>
        <v>0</v>
      </c>
      <c r="AB52" s="585">
        <f>VLOOKUP(Y52,Micronutrients,16,FALSE)</f>
        <v>1</v>
      </c>
      <c r="AC52" s="587">
        <v>0</v>
      </c>
      <c r="AD52" s="588">
        <f>VLOOKUP(Y52,Micronutrients,15,FALSE)</f>
        <v>0</v>
      </c>
      <c r="AE52" s="736">
        <f>(AC52*VLOOKUP(Y52,Micronutrients,14,FALSE)/AB52)*AA52</f>
        <v>0</v>
      </c>
      <c r="AF52" s="2"/>
      <c r="AG52" s="2"/>
      <c r="AH52" s="2"/>
      <c r="AI52" s="49"/>
    </row>
    <row r="53" spans="1:35" s="51" customFormat="1" ht="16.350000000000001" customHeight="1">
      <c r="A53" s="595"/>
      <c r="B53" s="821"/>
      <c r="C53" s="586"/>
      <c r="D53" s="821"/>
      <c r="E53" s="596"/>
      <c r="F53" s="588"/>
      <c r="G53" s="736"/>
      <c r="H53" s="2"/>
      <c r="I53" s="607" t="s">
        <v>886</v>
      </c>
      <c r="J53" s="607" t="s">
        <v>887</v>
      </c>
      <c r="K53" s="608" t="s">
        <v>888</v>
      </c>
      <c r="L53" s="732"/>
      <c r="M53" s="595"/>
      <c r="N53" s="821"/>
      <c r="O53" s="586"/>
      <c r="P53" s="821"/>
      <c r="Q53" s="596"/>
      <c r="R53" s="588"/>
      <c r="S53" s="736"/>
      <c r="T53" s="2"/>
      <c r="U53" s="607" t="s">
        <v>886</v>
      </c>
      <c r="V53" s="607" t="s">
        <v>887</v>
      </c>
      <c r="W53" s="608" t="s">
        <v>888</v>
      </c>
      <c r="X53" s="1032"/>
      <c r="Y53" s="595"/>
      <c r="Z53" s="821"/>
      <c r="AA53" s="586"/>
      <c r="AB53" s="821"/>
      <c r="AC53" s="596"/>
      <c r="AD53" s="588"/>
      <c r="AE53" s="736"/>
      <c r="AF53" s="2"/>
      <c r="AG53" s="607" t="s">
        <v>886</v>
      </c>
      <c r="AH53" s="607" t="s">
        <v>887</v>
      </c>
      <c r="AI53" s="608" t="s">
        <v>888</v>
      </c>
    </row>
    <row r="54" spans="1:35" s="51" customFormat="1" ht="16.350000000000001" customHeight="1">
      <c r="A54" s="595"/>
      <c r="B54" s="821"/>
      <c r="C54" s="586"/>
      <c r="D54" s="821"/>
      <c r="E54" s="596"/>
      <c r="F54" s="48"/>
      <c r="G54" s="736"/>
      <c r="H54" s="2"/>
      <c r="I54" s="722">
        <f>VLOOKUP(A45,Macronutrients,11,FALSE)*E45+VLOOKUP(A46,Macronutrients,11,FALSE)*E46+VLOOKUP(A47,Macronutrients,11,FALSE)*E47+VLOOKUP(A50,Micronutrients,11,FALSE)*E50+VLOOKUP(A51,Micronutrients,11,FALSE)*E51+VLOOKUP(A52,Micronutrients,11,FALSE)*E52</f>
        <v>0</v>
      </c>
      <c r="J54" s="722">
        <f>VLOOKUP(A45,Macronutrients,12,FALSE)*E45+VLOOKUP(A46,Macronutrients,12,FALSE)*E46+VLOOKUP(A47,Macronutrients,12,FALSE)*E47+VLOOKUP(A50,Micronutrients,12,FALSE)*E50+VLOOKUP(A51,Micronutrients,12,FALSE)*E51+VLOOKUP(A52,Micronutrients,12,FALSE)*E52</f>
        <v>0</v>
      </c>
      <c r="K54" s="723">
        <f>VLOOKUP(A45,Macronutrients,13,FALSE)*E45+VLOOKUP(A46,Macronutrients,13,FALSE)*E46+VLOOKUP(A47,Macronutrients,13,FALSE)*E47+VLOOKUP(A50,Micronutrients,13,FALSE)*E50+VLOOKUP(A51,Micronutrients,13,FALSE)*E51+VLOOKUP(A52,Micronutrients,13,FALSE)*E52</f>
        <v>0</v>
      </c>
      <c r="L54" s="732"/>
      <c r="M54" s="595"/>
      <c r="N54" s="821"/>
      <c r="O54" s="586"/>
      <c r="P54" s="821"/>
      <c r="Q54" s="596"/>
      <c r="R54" s="48"/>
      <c r="S54" s="736"/>
      <c r="T54" s="2"/>
      <c r="U54" s="722">
        <f>VLOOKUP(M45,Macronutrients,11,FALSE)*Q45+VLOOKUP(M46,Macronutrients,11,FALSE)*Q46+VLOOKUP(M47,Macronutrients,11,FALSE)*Q47+VLOOKUP(M50,Micronutrients,11,FALSE)*Q50+VLOOKUP(M51,Micronutrients,11,FALSE)*Q51+VLOOKUP(M52,Micronutrients,11,FALSE)*Q52</f>
        <v>0</v>
      </c>
      <c r="V54" s="722">
        <f>VLOOKUP(M45,Macronutrients,12,FALSE)*Q45+VLOOKUP(M46,Macronutrients,12,FALSE)*Q46+VLOOKUP(M47,Macronutrients,12,FALSE)*Q47+VLOOKUP(M50,Micronutrients,12,FALSE)*Q50+VLOOKUP(M51,Micronutrients,12,FALSE)*Q51+VLOOKUP(M52,Micronutrients,12,FALSE)*Q52</f>
        <v>0</v>
      </c>
      <c r="W54" s="723">
        <f>VLOOKUP(M45,Macronutrients,13,FALSE)*Q45+VLOOKUP(M46,Macronutrients,13,FALSE)*Q46+VLOOKUP(M47,Macronutrients,13,FALSE)*Q47+VLOOKUP(M50,Micronutrients,13,FALSE)*Q50+VLOOKUP(M51,Micronutrients,13,FALSE)*Q51+VLOOKUP(M52,Micronutrients,13,FALSE)*Q52</f>
        <v>0</v>
      </c>
      <c r="X54" s="1032"/>
      <c r="Y54" s="595"/>
      <c r="Z54" s="821"/>
      <c r="AA54" s="586"/>
      <c r="AB54" s="821"/>
      <c r="AC54" s="596"/>
      <c r="AD54" s="48"/>
      <c r="AE54" s="736"/>
      <c r="AF54" s="2"/>
      <c r="AG54" s="722">
        <f>VLOOKUP(Y45,Macronutrients,11,FALSE)*AC45+VLOOKUP(Y46,Macronutrients,11,FALSE)*AC46+VLOOKUP(Y47,Macronutrients,11,FALSE)*AC47+VLOOKUP(Y50,Micronutrients,11,FALSE)*AC50+VLOOKUP(Y51,Micronutrients,11,FALSE)*AC51+VLOOKUP(Y52,Micronutrients,11,FALSE)*AC52</f>
        <v>0</v>
      </c>
      <c r="AH54" s="722">
        <f>VLOOKUP(Y45,Macronutrients,12,FALSE)*AC45+VLOOKUP(Y46,Macronutrients,12,FALSE)*AC46+VLOOKUP(Y47,Macronutrients,12,FALSE)*AC47+VLOOKUP(Y50,Micronutrients,12,FALSE)*AC50+VLOOKUP(Y51,Micronutrients,12,FALSE)*AC51+VLOOKUP(Y52,Micronutrients,12,FALSE)*AC52</f>
        <v>0</v>
      </c>
      <c r="AI54" s="723">
        <f>VLOOKUP(Y45,Macronutrients,13,FALSE)*AC45+VLOOKUP(Y46,Macronutrients,13,FALSE)*AC46+VLOOKUP(Y47,Macronutrients,13,FALSE)*AC47+VLOOKUP(Y50,Micronutrients,13,FALSE)*AC50+VLOOKUP(Y51,Micronutrients,13,FALSE)*AC51+VLOOKUP(Y52,Micronutrients,13,FALSE)*AC52</f>
        <v>0</v>
      </c>
    </row>
    <row r="55" spans="1:35" s="51" customFormat="1" ht="16.350000000000001" customHeight="1">
      <c r="A55" s="105" t="s">
        <v>425</v>
      </c>
      <c r="B55" s="822"/>
      <c r="C55" s="823"/>
      <c r="D55" s="822"/>
      <c r="E55" s="824"/>
      <c r="F55" s="106"/>
      <c r="G55" s="826"/>
      <c r="H55" s="2"/>
      <c r="I55" s="825"/>
      <c r="J55" s="825"/>
      <c r="K55" s="724"/>
      <c r="L55" s="732"/>
      <c r="M55" s="105" t="s">
        <v>425</v>
      </c>
      <c r="N55" s="822"/>
      <c r="O55" s="823"/>
      <c r="P55" s="822"/>
      <c r="Q55" s="824"/>
      <c r="R55" s="106"/>
      <c r="S55" s="826"/>
      <c r="T55" s="2"/>
      <c r="U55" s="825"/>
      <c r="V55" s="825"/>
      <c r="W55" s="724"/>
      <c r="X55" s="1032"/>
      <c r="Y55" s="105" t="s">
        <v>425</v>
      </c>
      <c r="Z55" s="822"/>
      <c r="AA55" s="823"/>
      <c r="AB55" s="822"/>
      <c r="AC55" s="824"/>
      <c r="AD55" s="106"/>
      <c r="AE55" s="826"/>
      <c r="AF55" s="2"/>
      <c r="AG55" s="825"/>
      <c r="AH55" s="825"/>
      <c r="AI55" s="724"/>
    </row>
    <row r="56" spans="1:35" s="51" customFormat="1" ht="16.350000000000001" customHeight="1">
      <c r="A56" s="358" t="s">
        <v>13</v>
      </c>
      <c r="B56" s="585">
        <f>VLOOKUP(A56,NitrogenStabilizers,14,FALSE)</f>
        <v>0</v>
      </c>
      <c r="C56" s="586">
        <f>VLOOKUP(A56,NitrogenStabilizers,15,FALSE)</f>
        <v>0</v>
      </c>
      <c r="D56" s="585">
        <f>VLOOKUP(A56,NitrogenStabilizers,16,FALSE)</f>
        <v>1</v>
      </c>
      <c r="E56" s="587">
        <v>0</v>
      </c>
      <c r="F56" s="588">
        <f>VLOOKUP(A56,NitrogenStabilizers,15,FALSE)</f>
        <v>0</v>
      </c>
      <c r="G56" s="736">
        <f>(E56*VLOOKUP(A56,NitrogenStabilizers,14,FALSE)/D56)*C56</f>
        <v>0</v>
      </c>
      <c r="H56" s="2"/>
      <c r="I56" s="2"/>
      <c r="J56" s="2"/>
      <c r="K56" s="598" t="s">
        <v>255</v>
      </c>
      <c r="L56" s="732"/>
      <c r="M56" s="358" t="s">
        <v>13</v>
      </c>
      <c r="N56" s="585">
        <f>VLOOKUP(M56,NitrogenStabilizers,14,FALSE)</f>
        <v>0</v>
      </c>
      <c r="O56" s="586">
        <f>VLOOKUP(M56,NitrogenStabilizers,15,FALSE)</f>
        <v>0</v>
      </c>
      <c r="P56" s="585">
        <f>VLOOKUP(M56,NitrogenStabilizers,16,FALSE)</f>
        <v>1</v>
      </c>
      <c r="Q56" s="587">
        <v>0</v>
      </c>
      <c r="R56" s="588">
        <f>VLOOKUP(M56,NitrogenStabilizers,15,FALSE)</f>
        <v>0</v>
      </c>
      <c r="S56" s="736">
        <f>(Q56*VLOOKUP(M56,NitrogenStabilizers,14,FALSE)/P56)*O56</f>
        <v>0</v>
      </c>
      <c r="T56" s="2"/>
      <c r="U56" s="2"/>
      <c r="V56" s="2"/>
      <c r="W56" s="598" t="s">
        <v>255</v>
      </c>
      <c r="X56" s="1032"/>
      <c r="Y56" s="358" t="s">
        <v>13</v>
      </c>
      <c r="Z56" s="585">
        <f>VLOOKUP(Y56,NitrogenStabilizers,14,FALSE)</f>
        <v>0</v>
      </c>
      <c r="AA56" s="586">
        <f>VLOOKUP(Y56,NitrogenStabilizers,15,FALSE)</f>
        <v>0</v>
      </c>
      <c r="AB56" s="585">
        <f>VLOOKUP(Y56,NitrogenStabilizers,16,FALSE)</f>
        <v>1</v>
      </c>
      <c r="AC56" s="587">
        <v>0</v>
      </c>
      <c r="AD56" s="588">
        <f>VLOOKUP(Y56,NitrogenStabilizers,15,FALSE)</f>
        <v>0</v>
      </c>
      <c r="AE56" s="736">
        <f>(AC56*VLOOKUP(Y56,NitrogenStabilizers,14,FALSE)/AB56)*AA56</f>
        <v>0</v>
      </c>
      <c r="AF56" s="2"/>
      <c r="AG56" s="2"/>
      <c r="AH56" s="2"/>
      <c r="AI56" s="598" t="s">
        <v>255</v>
      </c>
    </row>
    <row r="57" spans="1:35" s="51" customFormat="1" ht="16.350000000000001" customHeight="1" thickBot="1">
      <c r="A57" s="599" t="s">
        <v>127</v>
      </c>
      <c r="B57" s="600"/>
      <c r="C57" s="600"/>
      <c r="D57" s="600"/>
      <c r="E57" s="601"/>
      <c r="F57" s="600"/>
      <c r="G57" s="602">
        <f>SUM(G45:G56)</f>
        <v>0</v>
      </c>
      <c r="H57" s="2"/>
      <c r="I57" s="2"/>
      <c r="J57" s="2"/>
      <c r="K57" s="598" t="s">
        <v>256</v>
      </c>
      <c r="L57" s="732"/>
      <c r="M57" s="599" t="s">
        <v>127</v>
      </c>
      <c r="N57" s="600"/>
      <c r="O57" s="600"/>
      <c r="P57" s="600"/>
      <c r="Q57" s="601"/>
      <c r="R57" s="600"/>
      <c r="S57" s="602">
        <f>SUM(S45:S56)</f>
        <v>0</v>
      </c>
      <c r="T57" s="2"/>
      <c r="U57" s="2"/>
      <c r="V57" s="2"/>
      <c r="W57" s="598" t="s">
        <v>256</v>
      </c>
      <c r="X57" s="1032"/>
      <c r="Y57" s="599" t="s">
        <v>127</v>
      </c>
      <c r="Z57" s="600"/>
      <c r="AA57" s="600"/>
      <c r="AB57" s="600"/>
      <c r="AC57" s="601"/>
      <c r="AD57" s="600"/>
      <c r="AE57" s="602">
        <f>SUM(AE45:AE56)</f>
        <v>0</v>
      </c>
      <c r="AF57" s="2"/>
      <c r="AG57" s="2"/>
      <c r="AH57" s="2"/>
      <c r="AI57" s="598" t="s">
        <v>256</v>
      </c>
    </row>
    <row r="58" spans="1:35" s="51" customFormat="1" ht="16.350000000000001" customHeight="1" thickTop="1">
      <c r="A58" s="545"/>
      <c r="B58" s="118"/>
      <c r="C58" s="118"/>
      <c r="D58" s="118"/>
      <c r="E58" s="118"/>
      <c r="F58" s="118"/>
      <c r="G58" s="116"/>
      <c r="H58" s="2"/>
      <c r="I58" s="2"/>
      <c r="J58" s="2"/>
      <c r="K58" s="603" t="s">
        <v>254</v>
      </c>
      <c r="L58" s="732"/>
      <c r="M58" s="545"/>
      <c r="N58" s="118"/>
      <c r="O58" s="118"/>
      <c r="P58" s="118"/>
      <c r="Q58" s="118"/>
      <c r="R58" s="118"/>
      <c r="S58" s="116"/>
      <c r="T58" s="2"/>
      <c r="U58" s="2"/>
      <c r="V58" s="2"/>
      <c r="W58" s="603" t="s">
        <v>254</v>
      </c>
      <c r="X58" s="1032"/>
      <c r="Y58" s="545"/>
      <c r="Z58" s="118"/>
      <c r="AA58" s="118"/>
      <c r="AB58" s="118"/>
      <c r="AC58" s="118"/>
      <c r="AD58" s="118"/>
      <c r="AE58" s="116"/>
      <c r="AF58" s="2"/>
      <c r="AG58" s="2"/>
      <c r="AH58" s="2"/>
      <c r="AI58" s="603" t="s">
        <v>254</v>
      </c>
    </row>
    <row r="59" spans="1:35" s="51" customFormat="1" ht="16.350000000000001" customHeight="1" thickBot="1">
      <c r="A59" s="24"/>
      <c r="B59" s="97"/>
      <c r="C59" s="97"/>
      <c r="D59" s="97"/>
      <c r="E59" s="97"/>
      <c r="F59" s="97"/>
      <c r="G59" s="97"/>
      <c r="H59" s="97"/>
      <c r="I59" s="97"/>
      <c r="J59" s="97"/>
      <c r="K59" s="604"/>
      <c r="L59" s="732"/>
      <c r="M59" s="24"/>
      <c r="N59" s="97"/>
      <c r="O59" s="97"/>
      <c r="P59" s="97"/>
      <c r="Q59" s="97"/>
      <c r="R59" s="97"/>
      <c r="S59" s="97"/>
      <c r="T59" s="97"/>
      <c r="U59" s="97"/>
      <c r="V59" s="97"/>
      <c r="W59" s="604"/>
      <c r="X59" s="1032"/>
      <c r="Y59" s="24"/>
      <c r="Z59" s="97"/>
      <c r="AA59" s="97"/>
      <c r="AB59" s="97"/>
      <c r="AC59" s="97"/>
      <c r="AD59" s="97"/>
      <c r="AE59" s="97"/>
      <c r="AF59" s="97"/>
      <c r="AG59" s="97"/>
      <c r="AH59" s="97"/>
      <c r="AI59" s="604"/>
    </row>
    <row r="60" spans="1:35" s="51" customFormat="1" ht="16.350000000000001" customHeight="1" thickBot="1">
      <c r="A60" s="1026" t="s">
        <v>940</v>
      </c>
      <c r="B60" s="1027"/>
      <c r="C60" s="1027"/>
      <c r="D60" s="1027"/>
      <c r="E60" s="1027"/>
      <c r="F60" s="1027"/>
      <c r="G60" s="1027"/>
      <c r="H60" s="1027"/>
      <c r="I60" s="1027"/>
      <c r="J60" s="1027"/>
      <c r="K60" s="1028"/>
      <c r="L60" s="732"/>
      <c r="M60" s="1026" t="s">
        <v>940</v>
      </c>
      <c r="N60" s="1027"/>
      <c r="O60" s="1027"/>
      <c r="P60" s="1027"/>
      <c r="Q60" s="1027"/>
      <c r="R60" s="1027"/>
      <c r="S60" s="1027"/>
      <c r="T60" s="1027"/>
      <c r="U60" s="1027"/>
      <c r="V60" s="1027"/>
      <c r="W60" s="1028"/>
      <c r="X60" s="1032"/>
      <c r="Y60" s="1026" t="s">
        <v>940</v>
      </c>
      <c r="Z60" s="1027"/>
      <c r="AA60" s="1027"/>
      <c r="AB60" s="1027"/>
      <c r="AC60" s="1027"/>
      <c r="AD60" s="1027"/>
      <c r="AE60" s="1027"/>
      <c r="AF60" s="1027"/>
      <c r="AG60" s="1027"/>
      <c r="AH60" s="1027"/>
      <c r="AI60" s="1028"/>
    </row>
    <row r="61" spans="1:35" s="51" customFormat="1" ht="16.350000000000001" customHeight="1">
      <c r="A61" s="810" t="s">
        <v>126</v>
      </c>
      <c r="B61" s="811" t="s">
        <v>106</v>
      </c>
      <c r="C61" s="812" t="s">
        <v>107</v>
      </c>
      <c r="D61" s="813" t="s">
        <v>12</v>
      </c>
      <c r="E61" s="813" t="s">
        <v>108</v>
      </c>
      <c r="F61" s="811" t="s">
        <v>11</v>
      </c>
      <c r="G61" s="813" t="s">
        <v>109</v>
      </c>
      <c r="H61" s="814"/>
      <c r="I61" s="814"/>
      <c r="J61" s="814"/>
      <c r="K61" s="815"/>
      <c r="L61" s="732"/>
      <c r="M61" s="810" t="s">
        <v>126</v>
      </c>
      <c r="N61" s="811" t="s">
        <v>106</v>
      </c>
      <c r="O61" s="812" t="s">
        <v>107</v>
      </c>
      <c r="P61" s="813" t="s">
        <v>12</v>
      </c>
      <c r="Q61" s="813" t="s">
        <v>108</v>
      </c>
      <c r="R61" s="811" t="s">
        <v>11</v>
      </c>
      <c r="S61" s="813" t="s">
        <v>109</v>
      </c>
      <c r="T61" s="814"/>
      <c r="U61" s="814"/>
      <c r="V61" s="814"/>
      <c r="W61" s="815"/>
      <c r="X61" s="1032"/>
      <c r="Y61" s="810" t="s">
        <v>126</v>
      </c>
      <c r="Z61" s="811" t="s">
        <v>106</v>
      </c>
      <c r="AA61" s="812" t="s">
        <v>107</v>
      </c>
      <c r="AB61" s="813" t="s">
        <v>12</v>
      </c>
      <c r="AC61" s="813" t="s">
        <v>108</v>
      </c>
      <c r="AD61" s="811" t="s">
        <v>11</v>
      </c>
      <c r="AE61" s="813" t="s">
        <v>109</v>
      </c>
      <c r="AF61" s="814"/>
      <c r="AG61" s="814"/>
      <c r="AH61" s="814"/>
      <c r="AI61" s="815"/>
    </row>
    <row r="62" spans="1:35" s="51" customFormat="1" ht="16.350000000000001" customHeight="1">
      <c r="A62" s="105" t="s">
        <v>500</v>
      </c>
      <c r="B62" s="48"/>
      <c r="C62" s="820"/>
      <c r="D62" s="36"/>
      <c r="E62" s="45" t="s">
        <v>128</v>
      </c>
      <c r="F62" s="41"/>
      <c r="G62" s="38"/>
      <c r="H62" s="2"/>
      <c r="I62" s="607" t="s">
        <v>96</v>
      </c>
      <c r="J62" s="607" t="s">
        <v>97</v>
      </c>
      <c r="K62" s="608" t="s">
        <v>98</v>
      </c>
      <c r="L62" s="732"/>
      <c r="M62" s="105" t="s">
        <v>500</v>
      </c>
      <c r="N62" s="48"/>
      <c r="O62" s="820"/>
      <c r="P62" s="36"/>
      <c r="Q62" s="45" t="s">
        <v>128</v>
      </c>
      <c r="R62" s="41"/>
      <c r="S62" s="38"/>
      <c r="T62" s="2"/>
      <c r="U62" s="607" t="s">
        <v>96</v>
      </c>
      <c r="V62" s="607" t="s">
        <v>97</v>
      </c>
      <c r="W62" s="608" t="s">
        <v>98</v>
      </c>
      <c r="X62" s="1032"/>
      <c r="Y62" s="105" t="s">
        <v>500</v>
      </c>
      <c r="Z62" s="48"/>
      <c r="AA62" s="820"/>
      <c r="AB62" s="36"/>
      <c r="AC62" s="45" t="s">
        <v>128</v>
      </c>
      <c r="AD62" s="41"/>
      <c r="AE62" s="38"/>
      <c r="AF62" s="2"/>
      <c r="AG62" s="607" t="s">
        <v>96</v>
      </c>
      <c r="AH62" s="607" t="s">
        <v>97</v>
      </c>
      <c r="AI62" s="608" t="s">
        <v>98</v>
      </c>
    </row>
    <row r="63" spans="1:35" s="51" customFormat="1" ht="16.350000000000001" customHeight="1">
      <c r="A63" s="584" t="s">
        <v>13</v>
      </c>
      <c r="B63" s="585">
        <f t="shared" ref="B63:B65" si="45">VLOOKUP(A63,Macronutrients,14,FALSE)</f>
        <v>0</v>
      </c>
      <c r="C63" s="586">
        <f t="shared" ref="C63:C65" si="46">VLOOKUP(A63,Macronutrients,18,FALSE)</f>
        <v>0</v>
      </c>
      <c r="D63" s="585">
        <f t="shared" ref="D63:D65" si="47">VLOOKUP(A63,Macronutrients,16,FALSE)</f>
        <v>1</v>
      </c>
      <c r="E63" s="587">
        <v>0</v>
      </c>
      <c r="F63" s="588">
        <f t="shared" ref="F63:F65" si="48">VLOOKUP(A63,Macronutrients,15,FALSE)</f>
        <v>0</v>
      </c>
      <c r="G63" s="736">
        <f t="shared" ref="G63:G65" si="49">(E63*VLOOKUP(A63,Macronutrients,14,FALSE)/D63)*C63</f>
        <v>0</v>
      </c>
      <c r="H63" s="2"/>
      <c r="I63" s="725">
        <f>VLOOKUP(A63,Macronutrients,2,FALSE)*E63+VLOOKUP(A64,Macronutrients,2,FALSE)*E64+VLOOKUP(A65,Macronutrients,2,FALSE)*E65+VLOOKUP(A68,Micronutrients,2,FALSE)*E68+VLOOKUP(A69,Micronutrients,2,FALSE)*E69+VLOOKUP(A70,Micronutrients,2,FALSE)*E70</f>
        <v>0</v>
      </c>
      <c r="J63" s="589">
        <f>VLOOKUP(A63,Macronutrients,3,FALSE)*E63+VLOOKUP(A64,Macronutrients,3,FALSE)*E64+VLOOKUP(A65,Macronutrients,3,FALSE)*E65+VLOOKUP(A68,Micronutrients,3,FALSE)*E68+VLOOKUP(A69,Micronutrients,3,FALSE)*E69+VLOOKUP(A70,Micronutrients,3,FALSE)*E70</f>
        <v>0</v>
      </c>
      <c r="K63" s="590">
        <f>VLOOKUP(A63,Macronutrients,4,FALSE)*E63+VLOOKUP(A64,Macronutrients,4,FALSE)*E64+VLOOKUP(A65,Macronutrients,4,FALSE)*E65+VLOOKUP(A68,Micronutrients,4,FALSE)*E68+VLOOKUP(A69,Micronutrients,4,FALSE)*E69+VLOOKUP(A70,Micronutrients,4,FALSE)*E70</f>
        <v>0</v>
      </c>
      <c r="L63" s="732"/>
      <c r="M63" s="584" t="s">
        <v>13</v>
      </c>
      <c r="N63" s="585">
        <f t="shared" ref="N63:N65" si="50">VLOOKUP(M63,Macronutrients,14,FALSE)</f>
        <v>0</v>
      </c>
      <c r="O63" s="586">
        <f t="shared" ref="O63:O65" si="51">VLOOKUP(M63,Macronutrients,18,FALSE)</f>
        <v>0</v>
      </c>
      <c r="P63" s="585">
        <f t="shared" ref="P63:P65" si="52">VLOOKUP(M63,Macronutrients,16,FALSE)</f>
        <v>1</v>
      </c>
      <c r="Q63" s="587">
        <v>0</v>
      </c>
      <c r="R63" s="588">
        <f t="shared" ref="R63:R65" si="53">VLOOKUP(M63,Macronutrients,15,FALSE)</f>
        <v>0</v>
      </c>
      <c r="S63" s="736">
        <f t="shared" ref="S63:S65" si="54">(Q63*VLOOKUP(M63,Macronutrients,14,FALSE)/P63)*O63</f>
        <v>0</v>
      </c>
      <c r="T63" s="2"/>
      <c r="U63" s="725">
        <f>VLOOKUP(M63,Macronutrients,2,FALSE)*Q63+VLOOKUP(M64,Macronutrients,2,FALSE)*Q64+VLOOKUP(M65,Macronutrients,2,FALSE)*Q65+VLOOKUP(M68,Micronutrients,2,FALSE)*Q68+VLOOKUP(M69,Micronutrients,2,FALSE)*Q69+VLOOKUP(M70,Micronutrients,2,FALSE)*Q70</f>
        <v>0</v>
      </c>
      <c r="V63" s="589">
        <f>VLOOKUP(M63,Macronutrients,3,FALSE)*Q63+VLOOKUP(M64,Macronutrients,3,FALSE)*Q64+VLOOKUP(M65,Macronutrients,3,FALSE)*Q65+VLOOKUP(M68,Micronutrients,3,FALSE)*Q68+VLOOKUP(M69,Micronutrients,3,FALSE)*Q69+VLOOKUP(M70,Micronutrients,3,FALSE)*Q70</f>
        <v>0</v>
      </c>
      <c r="W63" s="590">
        <f>VLOOKUP(M63,Macronutrients,4,FALSE)*Q63+VLOOKUP(M64,Macronutrients,4,FALSE)*Q64+VLOOKUP(M65,Macronutrients,4,FALSE)*Q65+VLOOKUP(M68,Micronutrients,4,FALSE)*Q68+VLOOKUP(M69,Micronutrients,4,FALSE)*Q69+VLOOKUP(M70,Micronutrients,4,FALSE)*Q70</f>
        <v>0</v>
      </c>
      <c r="X63" s="1032"/>
      <c r="Y63" s="584" t="s">
        <v>13</v>
      </c>
      <c r="Z63" s="585">
        <f t="shared" ref="Z63:Z65" si="55">VLOOKUP(Y63,Macronutrients,14,FALSE)</f>
        <v>0</v>
      </c>
      <c r="AA63" s="586">
        <f t="shared" ref="AA63:AA65" si="56">VLOOKUP(Y63,Macronutrients,18,FALSE)</f>
        <v>0</v>
      </c>
      <c r="AB63" s="585">
        <f t="shared" ref="AB63:AB65" si="57">VLOOKUP(Y63,Macronutrients,16,FALSE)</f>
        <v>1</v>
      </c>
      <c r="AC63" s="587">
        <v>0</v>
      </c>
      <c r="AD63" s="588">
        <f t="shared" ref="AD63:AD65" si="58">VLOOKUP(Y63,Macronutrients,15,FALSE)</f>
        <v>0</v>
      </c>
      <c r="AE63" s="736">
        <f t="shared" ref="AE63:AE65" si="59">(AC63*VLOOKUP(Y63,Macronutrients,14,FALSE)/AB63)*AA63</f>
        <v>0</v>
      </c>
      <c r="AF63" s="2"/>
      <c r="AG63" s="725">
        <f>VLOOKUP(Y63,Macronutrients,2,FALSE)*AC63+VLOOKUP(Y64,Macronutrients,2,FALSE)*AC64+VLOOKUP(Y65,Macronutrients,2,FALSE)*AC65+VLOOKUP(Y68,Micronutrients,2,FALSE)*AC68+VLOOKUP(Y69,Micronutrients,2,FALSE)*AC69+VLOOKUP(Y70,Micronutrients,2,FALSE)*AC70</f>
        <v>0</v>
      </c>
      <c r="AH63" s="589">
        <f>VLOOKUP(Y63,Macronutrients,3,FALSE)*AC63+VLOOKUP(Y64,Macronutrients,3,FALSE)*AC64+VLOOKUP(Y65,Macronutrients,3,FALSE)*AC65+VLOOKUP(Y68,Micronutrients,3,FALSE)*AC68+VLOOKUP(Y69,Micronutrients,3,FALSE)*AC69+VLOOKUP(Y70,Micronutrients,3,FALSE)*AC70</f>
        <v>0</v>
      </c>
      <c r="AI63" s="590">
        <f>VLOOKUP(Y63,Macronutrients,4,FALSE)*AC63+VLOOKUP(Y64,Macronutrients,4,FALSE)*AC64+VLOOKUP(Y65,Macronutrients,4,FALSE)*AC65+VLOOKUP(Y68,Micronutrients,4,FALSE)*AC68+VLOOKUP(Y69,Micronutrients,4,FALSE)*AC69+VLOOKUP(Y70,Micronutrients,4,FALSE)*AC70</f>
        <v>0</v>
      </c>
    </row>
    <row r="64" spans="1:35" s="51" customFormat="1" ht="16.350000000000001" customHeight="1">
      <c r="A64" s="584" t="s">
        <v>13</v>
      </c>
      <c r="B64" s="585">
        <f t="shared" si="45"/>
        <v>0</v>
      </c>
      <c r="C64" s="586">
        <f t="shared" si="46"/>
        <v>0</v>
      </c>
      <c r="D64" s="585">
        <f t="shared" si="47"/>
        <v>1</v>
      </c>
      <c r="E64" s="587">
        <v>0</v>
      </c>
      <c r="F64" s="588">
        <f t="shared" si="48"/>
        <v>0</v>
      </c>
      <c r="G64" s="736">
        <f t="shared" si="49"/>
        <v>0</v>
      </c>
      <c r="H64" s="2"/>
      <c r="I64" s="592"/>
      <c r="J64" s="592"/>
      <c r="K64" s="593"/>
      <c r="L64" s="732"/>
      <c r="M64" s="584" t="s">
        <v>13</v>
      </c>
      <c r="N64" s="585">
        <f t="shared" si="50"/>
        <v>0</v>
      </c>
      <c r="O64" s="586">
        <f t="shared" si="51"/>
        <v>0</v>
      </c>
      <c r="P64" s="585">
        <f t="shared" si="52"/>
        <v>1</v>
      </c>
      <c r="Q64" s="587">
        <v>0</v>
      </c>
      <c r="R64" s="588">
        <f t="shared" si="53"/>
        <v>0</v>
      </c>
      <c r="S64" s="736">
        <f t="shared" si="54"/>
        <v>0</v>
      </c>
      <c r="T64" s="2"/>
      <c r="U64" s="592"/>
      <c r="V64" s="592"/>
      <c r="W64" s="593"/>
      <c r="X64" s="1032"/>
      <c r="Y64" s="584" t="s">
        <v>13</v>
      </c>
      <c r="Z64" s="585">
        <f t="shared" si="55"/>
        <v>0</v>
      </c>
      <c r="AA64" s="586">
        <f t="shared" si="56"/>
        <v>0</v>
      </c>
      <c r="AB64" s="585">
        <f t="shared" si="57"/>
        <v>1</v>
      </c>
      <c r="AC64" s="587">
        <v>0</v>
      </c>
      <c r="AD64" s="588">
        <f t="shared" si="58"/>
        <v>0</v>
      </c>
      <c r="AE64" s="736">
        <f t="shared" si="59"/>
        <v>0</v>
      </c>
      <c r="AF64" s="2"/>
      <c r="AG64" s="592"/>
      <c r="AH64" s="592"/>
      <c r="AI64" s="593"/>
    </row>
    <row r="65" spans="1:35" s="51" customFormat="1" ht="16.350000000000001" customHeight="1">
      <c r="A65" s="584" t="s">
        <v>13</v>
      </c>
      <c r="B65" s="585">
        <f t="shared" si="45"/>
        <v>0</v>
      </c>
      <c r="C65" s="586">
        <f t="shared" si="46"/>
        <v>0</v>
      </c>
      <c r="D65" s="585">
        <f t="shared" si="47"/>
        <v>1</v>
      </c>
      <c r="E65" s="587">
        <v>0</v>
      </c>
      <c r="F65" s="588">
        <f t="shared" si="48"/>
        <v>0</v>
      </c>
      <c r="G65" s="736">
        <f t="shared" si="49"/>
        <v>0</v>
      </c>
      <c r="I65" s="607" t="s">
        <v>99</v>
      </c>
      <c r="J65" s="607" t="s">
        <v>100</v>
      </c>
      <c r="K65" s="608" t="s">
        <v>101</v>
      </c>
      <c r="L65" s="732"/>
      <c r="M65" s="584" t="s">
        <v>13</v>
      </c>
      <c r="N65" s="585">
        <f t="shared" si="50"/>
        <v>0</v>
      </c>
      <c r="O65" s="586">
        <f t="shared" si="51"/>
        <v>0</v>
      </c>
      <c r="P65" s="585">
        <f t="shared" si="52"/>
        <v>1</v>
      </c>
      <c r="Q65" s="587">
        <v>0</v>
      </c>
      <c r="R65" s="588">
        <f t="shared" si="53"/>
        <v>0</v>
      </c>
      <c r="S65" s="736">
        <f t="shared" si="54"/>
        <v>0</v>
      </c>
      <c r="U65" s="607" t="s">
        <v>99</v>
      </c>
      <c r="V65" s="607" t="s">
        <v>100</v>
      </c>
      <c r="W65" s="608" t="s">
        <v>101</v>
      </c>
      <c r="X65" s="1032"/>
      <c r="Y65" s="584" t="s">
        <v>13</v>
      </c>
      <c r="Z65" s="585">
        <f t="shared" si="55"/>
        <v>0</v>
      </c>
      <c r="AA65" s="586">
        <f t="shared" si="56"/>
        <v>0</v>
      </c>
      <c r="AB65" s="585">
        <f t="shared" si="57"/>
        <v>1</v>
      </c>
      <c r="AC65" s="587">
        <v>0</v>
      </c>
      <c r="AD65" s="588">
        <f t="shared" si="58"/>
        <v>0</v>
      </c>
      <c r="AE65" s="736">
        <f t="shared" si="59"/>
        <v>0</v>
      </c>
      <c r="AG65" s="607" t="s">
        <v>99</v>
      </c>
      <c r="AH65" s="607" t="s">
        <v>100</v>
      </c>
      <c r="AI65" s="608" t="s">
        <v>101</v>
      </c>
    </row>
    <row r="66" spans="1:35" s="51" customFormat="1" ht="16.350000000000001" customHeight="1">
      <c r="A66" s="595"/>
      <c r="B66" s="38"/>
      <c r="C66" s="586"/>
      <c r="D66" s="588"/>
      <c r="E66" s="111"/>
      <c r="F66" s="588"/>
      <c r="G66" s="736"/>
      <c r="H66" s="2"/>
      <c r="I66" s="589">
        <f>VLOOKUP(A63,Macronutrients,5,FALSE)*E63+VLOOKUP(A64,Macronutrients,5,FALSE)*E64+VLOOKUP(A65,Macronutrients,5,FALSE)*E65+VLOOKUP(A68,Micronutrients,5,FALSE)*E68+VLOOKUP(A69,Micronutrients,5,FALSE)*E69+VLOOKUP(A70,Micronutrients,5,FALSE)*E70</f>
        <v>0</v>
      </c>
      <c r="J66" s="589">
        <f>VLOOKUP(A63,Macronutrients,7,FALSE)*E63+VLOOKUP(A64,Macronutrients,7,FALSE)*E64+VLOOKUP(A65,Macronutrients,7,FALSE)*E65+VLOOKUP(A68,Micronutrients,7,FALSE)*E68+VLOOKUP(A69,Micronutrients,7,FALSE)*E69+VLOOKUP(A70,Micronutrients,7,FALSE)*E70</f>
        <v>0</v>
      </c>
      <c r="K66" s="590">
        <f>VLOOKUP($A63,Macronutrients,6,FALSE)*$E$6+VLOOKUP($A64,Macronutrients,6,FALSE)*$E$7+VLOOKUP($A65,Macronutrients,6,FALSE)*$E$8+VLOOKUP($A68,Micronutrients,6,FALSE)*$E$11+VLOOKUP($A69,Micronutrients,6,FALSE)*E69+VLOOKUP($A70,Micronutrients,6,FALSE)*$E$13</f>
        <v>0</v>
      </c>
      <c r="L66" s="732"/>
      <c r="M66" s="595"/>
      <c r="N66" s="38"/>
      <c r="O66" s="586"/>
      <c r="P66" s="588"/>
      <c r="Q66" s="111"/>
      <c r="R66" s="588"/>
      <c r="S66" s="736"/>
      <c r="T66" s="2"/>
      <c r="U66" s="589">
        <f>VLOOKUP(M63,Macronutrients,5,FALSE)*Q63+VLOOKUP(M64,Macronutrients,5,FALSE)*Q64+VLOOKUP(M65,Macronutrients,5,FALSE)*Q65+VLOOKUP(M68,Micronutrients,5,FALSE)*Q68+VLOOKUP(M69,Micronutrients,5,FALSE)*Q69+VLOOKUP(M70,Micronutrients,5,FALSE)*Q70</f>
        <v>0</v>
      </c>
      <c r="V66" s="589">
        <f>VLOOKUP(M63,Macronutrients,7,FALSE)*Q63+VLOOKUP(M64,Macronutrients,7,FALSE)*Q64+VLOOKUP(M65,Macronutrients,7,FALSE)*Q65+VLOOKUP(M68,Micronutrients,7,FALSE)*Q68+VLOOKUP(M69,Micronutrients,7,FALSE)*Q69+VLOOKUP(M70,Micronutrients,7,FALSE)*Q70</f>
        <v>0</v>
      </c>
      <c r="W66" s="590">
        <f>VLOOKUP($A63,Macronutrients,6,FALSE)*$E$6+VLOOKUP($A64,Macronutrients,6,FALSE)*$E$7+VLOOKUP($A65,Macronutrients,6,FALSE)*$E$8+VLOOKUP($A68,Micronutrients,6,FALSE)*$E$11+VLOOKUP($A69,Micronutrients,6,FALSE)*Q69+VLOOKUP($A70,Micronutrients,6,FALSE)*$E$13</f>
        <v>0</v>
      </c>
      <c r="X66" s="1032"/>
      <c r="Y66" s="595"/>
      <c r="Z66" s="38"/>
      <c r="AA66" s="586"/>
      <c r="AB66" s="588"/>
      <c r="AC66" s="111"/>
      <c r="AD66" s="588"/>
      <c r="AE66" s="736"/>
      <c r="AF66" s="2"/>
      <c r="AG66" s="589">
        <f>VLOOKUP(Y63,Macronutrients,5,FALSE)*AC63+VLOOKUP(Y64,Macronutrients,5,FALSE)*AC64+VLOOKUP(Y65,Macronutrients,5,FALSE)*AC65+VLOOKUP(Y68,Micronutrients,5,FALSE)*AC68+VLOOKUP(Y69,Micronutrients,5,FALSE)*AC69+VLOOKUP(Y70,Micronutrients,5,FALSE)*AC70</f>
        <v>0</v>
      </c>
      <c r="AH66" s="589">
        <f>VLOOKUP(Y63,Macronutrients,7,FALSE)*AC63+VLOOKUP(Y64,Macronutrients,7,FALSE)*AC64+VLOOKUP(Y65,Macronutrients,7,FALSE)*AC65+VLOOKUP(Y68,Micronutrients,7,FALSE)*AC68+VLOOKUP(Y69,Micronutrients,7,FALSE)*AC69+VLOOKUP(Y70,Micronutrients,7,FALSE)*AC70</f>
        <v>0</v>
      </c>
      <c r="AI66" s="590">
        <f>VLOOKUP($A63,Macronutrients,6,FALSE)*$E$6+VLOOKUP($A64,Macronutrients,6,FALSE)*$E$7+VLOOKUP($A65,Macronutrients,6,FALSE)*$E$8+VLOOKUP($A68,Micronutrients,6,FALSE)*$E$11+VLOOKUP($A69,Micronutrients,6,FALSE)*AC69+VLOOKUP($A70,Micronutrients,6,FALSE)*$E$13</f>
        <v>0</v>
      </c>
    </row>
    <row r="67" spans="1:35" s="51" customFormat="1" ht="16.350000000000001" customHeight="1">
      <c r="A67" s="105" t="s">
        <v>501</v>
      </c>
      <c r="B67" s="821"/>
      <c r="C67" s="586"/>
      <c r="D67" s="821"/>
      <c r="E67" s="596"/>
      <c r="F67" s="48"/>
      <c r="G67" s="736"/>
      <c r="H67" s="2"/>
      <c r="I67" s="592"/>
      <c r="J67" s="592"/>
      <c r="K67" s="593"/>
      <c r="L67" s="732"/>
      <c r="M67" s="105" t="s">
        <v>501</v>
      </c>
      <c r="N67" s="821"/>
      <c r="O67" s="586"/>
      <c r="P67" s="821"/>
      <c r="Q67" s="596"/>
      <c r="R67" s="48"/>
      <c r="S67" s="736"/>
      <c r="T67" s="2"/>
      <c r="U67" s="592"/>
      <c r="V67" s="592"/>
      <c r="W67" s="593"/>
      <c r="X67" s="1032"/>
      <c r="Y67" s="105" t="s">
        <v>501</v>
      </c>
      <c r="Z67" s="821"/>
      <c r="AA67" s="586"/>
      <c r="AB67" s="821"/>
      <c r="AC67" s="596"/>
      <c r="AD67" s="48"/>
      <c r="AE67" s="736"/>
      <c r="AF67" s="2"/>
      <c r="AG67" s="592"/>
      <c r="AH67" s="592"/>
      <c r="AI67" s="593"/>
    </row>
    <row r="68" spans="1:35" s="51" customFormat="1" ht="16.350000000000001" customHeight="1">
      <c r="A68" s="584" t="s">
        <v>13</v>
      </c>
      <c r="B68" s="585">
        <f>VLOOKUP($A68,Micronutrients,14,FALSE)</f>
        <v>0</v>
      </c>
      <c r="C68" s="586">
        <f>VLOOKUP(A68,Micronutrients,18,FALSE)</f>
        <v>0</v>
      </c>
      <c r="D68" s="585">
        <f>VLOOKUP(A68,Micronutrients,16,FALSE)</f>
        <v>1</v>
      </c>
      <c r="E68" s="587">
        <v>0</v>
      </c>
      <c r="F68" s="588">
        <f>VLOOKUP(A68,Micronutrients,15,FALSE)</f>
        <v>0</v>
      </c>
      <c r="G68" s="736">
        <f>(E68*VLOOKUP(A68,Micronutrients,14,FALSE)/D68)*C68</f>
        <v>0</v>
      </c>
      <c r="H68" s="2"/>
      <c r="I68" s="607" t="s">
        <v>102</v>
      </c>
      <c r="J68" s="607" t="s">
        <v>103</v>
      </c>
      <c r="K68" s="608" t="s">
        <v>104</v>
      </c>
      <c r="L68" s="732"/>
      <c r="M68" s="584" t="s">
        <v>13</v>
      </c>
      <c r="N68" s="585">
        <f>VLOOKUP($A68,Micronutrients,14,FALSE)</f>
        <v>0</v>
      </c>
      <c r="O68" s="586">
        <f>VLOOKUP(M68,Micronutrients,18,FALSE)</f>
        <v>0</v>
      </c>
      <c r="P68" s="585">
        <f>VLOOKUP(M68,Micronutrients,16,FALSE)</f>
        <v>1</v>
      </c>
      <c r="Q68" s="587">
        <v>0</v>
      </c>
      <c r="R68" s="588">
        <f>VLOOKUP(M68,Micronutrients,15,FALSE)</f>
        <v>0</v>
      </c>
      <c r="S68" s="736">
        <f>(Q68*VLOOKUP(M68,Micronutrients,14,FALSE)/P68)*O68</f>
        <v>0</v>
      </c>
      <c r="T68" s="2"/>
      <c r="U68" s="607" t="s">
        <v>102</v>
      </c>
      <c r="V68" s="607" t="s">
        <v>103</v>
      </c>
      <c r="W68" s="608" t="s">
        <v>104</v>
      </c>
      <c r="X68" s="1032"/>
      <c r="Y68" s="584" t="s">
        <v>13</v>
      </c>
      <c r="Z68" s="585">
        <f>VLOOKUP($A68,Micronutrients,14,FALSE)</f>
        <v>0</v>
      </c>
      <c r="AA68" s="586">
        <f>VLOOKUP(Y68,Micronutrients,18,FALSE)</f>
        <v>0</v>
      </c>
      <c r="AB68" s="585">
        <f>VLOOKUP(Y68,Micronutrients,16,FALSE)</f>
        <v>1</v>
      </c>
      <c r="AC68" s="587">
        <v>0</v>
      </c>
      <c r="AD68" s="588">
        <f>VLOOKUP(Y68,Micronutrients,15,FALSE)</f>
        <v>0</v>
      </c>
      <c r="AE68" s="736">
        <f>(AC68*VLOOKUP(Y68,Micronutrients,14,FALSE)/AB68)*AA68</f>
        <v>0</v>
      </c>
      <c r="AF68" s="2"/>
      <c r="AG68" s="607" t="s">
        <v>102</v>
      </c>
      <c r="AH68" s="607" t="s">
        <v>103</v>
      </c>
      <c r="AI68" s="608" t="s">
        <v>104</v>
      </c>
    </row>
    <row r="69" spans="1:35" s="51" customFormat="1" ht="16.350000000000001" customHeight="1">
      <c r="A69" s="584" t="s">
        <v>13</v>
      </c>
      <c r="B69" s="585">
        <f>VLOOKUP($A69,Micronutrients,14,FALSE)</f>
        <v>0</v>
      </c>
      <c r="C69" s="586">
        <f>VLOOKUP(A69,Micronutrients,18,FALSE)</f>
        <v>0</v>
      </c>
      <c r="D69" s="585">
        <f>VLOOKUP(A69,Micronutrients,16,FALSE)</f>
        <v>1</v>
      </c>
      <c r="E69" s="587">
        <v>0</v>
      </c>
      <c r="F69" s="588">
        <f>VLOOKUP(A69,Micronutrients,15,FALSE)</f>
        <v>0</v>
      </c>
      <c r="G69" s="736">
        <f>(E69*VLOOKUP(A69,Micronutrients,14,FALSE)/D69)*C69</f>
        <v>0</v>
      </c>
      <c r="H69" s="2"/>
      <c r="I69" s="722">
        <f>VLOOKUP(A63,Macronutrients,8,FALSE)*E63+VLOOKUP(A64,Macronutrients,8,FALSE)*E64+VLOOKUP(A65,Macronutrients,8,FALSE)*E65+VLOOKUP(A68,Micronutrients,8,FALSE)*E68+VLOOKUP(A69,Micronutrients,8,FALSE)*E69+VLOOKUP(A70,Micronutrients,8,FALSE)*E70</f>
        <v>0</v>
      </c>
      <c r="J69" s="722">
        <f>VLOOKUP(A63,Macronutrients,9,FALSE)*E63+VLOOKUP(A64,Macronutrients,9,FALSE)*E64+VLOOKUP(A65,Macronutrients,9,FALSE)*E65+VLOOKUP(A68,Micronutrients,9,FALSE)*E68+VLOOKUP(A69,Micronutrients,9,FALSE)*E69+VLOOKUP(A70,Micronutrients,9,FALSE)*E70</f>
        <v>0</v>
      </c>
      <c r="K69" s="723">
        <f>VLOOKUP(A63,Macronutrients,10,FALSE)*E63+VLOOKUP(A64,Macronutrients,10,FALSE)*E64+VLOOKUP(A65,Macronutrients,10,FALSE)*E65+VLOOKUP(A68,Micronutrients,10,FALSE)*E68+VLOOKUP(A69,Micronutrients,10,FALSE)*E69+VLOOKUP(A70,Micronutrients,10,FALSE)*E70</f>
        <v>0</v>
      </c>
      <c r="L69" s="732"/>
      <c r="M69" s="584" t="s">
        <v>13</v>
      </c>
      <c r="N69" s="585">
        <f>VLOOKUP($A69,Micronutrients,14,FALSE)</f>
        <v>0</v>
      </c>
      <c r="O69" s="586">
        <f>VLOOKUP(M69,Micronutrients,18,FALSE)</f>
        <v>0</v>
      </c>
      <c r="P69" s="585">
        <f>VLOOKUP(M69,Micronutrients,16,FALSE)</f>
        <v>1</v>
      </c>
      <c r="Q69" s="587">
        <v>0</v>
      </c>
      <c r="R69" s="588">
        <f>VLOOKUP(M69,Micronutrients,15,FALSE)</f>
        <v>0</v>
      </c>
      <c r="S69" s="736">
        <f>(Q69*VLOOKUP(M69,Micronutrients,14,FALSE)/P69)*O69</f>
        <v>0</v>
      </c>
      <c r="T69" s="2"/>
      <c r="U69" s="722">
        <f>VLOOKUP(M63,Macronutrients,8,FALSE)*Q63+VLOOKUP(M64,Macronutrients,8,FALSE)*Q64+VLOOKUP(M65,Macronutrients,8,FALSE)*Q65+VLOOKUP(M68,Micronutrients,8,FALSE)*Q68+VLOOKUP(M69,Micronutrients,8,FALSE)*Q69+VLOOKUP(M70,Micronutrients,8,FALSE)*Q70</f>
        <v>0</v>
      </c>
      <c r="V69" s="722">
        <f>VLOOKUP(M63,Macronutrients,9,FALSE)*Q63+VLOOKUP(M64,Macronutrients,9,FALSE)*Q64+VLOOKUP(M65,Macronutrients,9,FALSE)*Q65+VLOOKUP(M68,Micronutrients,9,FALSE)*Q68+VLOOKUP(M69,Micronutrients,9,FALSE)*Q69+VLOOKUP(M70,Micronutrients,9,FALSE)*Q70</f>
        <v>0</v>
      </c>
      <c r="W69" s="723">
        <f>VLOOKUP(M63,Macronutrients,10,FALSE)*Q63+VLOOKUP(M64,Macronutrients,10,FALSE)*Q64+VLOOKUP(M65,Macronutrients,10,FALSE)*Q65+VLOOKUP(M68,Micronutrients,10,FALSE)*Q68+VLOOKUP(M69,Micronutrients,10,FALSE)*Q69+VLOOKUP(M70,Micronutrients,10,FALSE)*Q70</f>
        <v>0</v>
      </c>
      <c r="X69" s="1032"/>
      <c r="Y69" s="584" t="s">
        <v>13</v>
      </c>
      <c r="Z69" s="585">
        <f>VLOOKUP($A69,Micronutrients,14,FALSE)</f>
        <v>0</v>
      </c>
      <c r="AA69" s="586">
        <f>VLOOKUP(Y69,Micronutrients,18,FALSE)</f>
        <v>0</v>
      </c>
      <c r="AB69" s="585">
        <f>VLOOKUP(Y69,Micronutrients,16,FALSE)</f>
        <v>1</v>
      </c>
      <c r="AC69" s="587">
        <v>0</v>
      </c>
      <c r="AD69" s="588">
        <f>VLOOKUP(Y69,Micronutrients,15,FALSE)</f>
        <v>0</v>
      </c>
      <c r="AE69" s="736">
        <f>(AC69*VLOOKUP(Y69,Micronutrients,14,FALSE)/AB69)*AA69</f>
        <v>0</v>
      </c>
      <c r="AF69" s="2"/>
      <c r="AG69" s="722">
        <f>VLOOKUP(Y63,Macronutrients,8,FALSE)*AC63+VLOOKUP(Y64,Macronutrients,8,FALSE)*AC64+VLOOKUP(Y65,Macronutrients,8,FALSE)*AC65+VLOOKUP(Y68,Micronutrients,8,FALSE)*AC68+VLOOKUP(Y69,Micronutrients,8,FALSE)*AC69+VLOOKUP(Y70,Micronutrients,8,FALSE)*AC70</f>
        <v>0</v>
      </c>
      <c r="AH69" s="722">
        <f>VLOOKUP(Y63,Macronutrients,9,FALSE)*AC63+VLOOKUP(Y64,Macronutrients,9,FALSE)*AC64+VLOOKUP(Y65,Macronutrients,9,FALSE)*AC65+VLOOKUP(Y68,Micronutrients,9,FALSE)*AC68+VLOOKUP(Y69,Micronutrients,9,FALSE)*AC69+VLOOKUP(Y70,Micronutrients,9,FALSE)*AC70</f>
        <v>0</v>
      </c>
      <c r="AI69" s="723">
        <f>VLOOKUP(Y63,Macronutrients,10,FALSE)*AC63+VLOOKUP(Y64,Macronutrients,10,FALSE)*AC64+VLOOKUP(Y65,Macronutrients,10,FALSE)*AC65+VLOOKUP(Y68,Micronutrients,10,FALSE)*AC68+VLOOKUP(Y69,Micronutrients,10,FALSE)*AC69+VLOOKUP(Y70,Micronutrients,10,FALSE)*AC70</f>
        <v>0</v>
      </c>
    </row>
    <row r="70" spans="1:35" s="51" customFormat="1" ht="16.350000000000001" customHeight="1">
      <c r="A70" s="584" t="s">
        <v>13</v>
      </c>
      <c r="B70" s="585">
        <f>VLOOKUP($A70,Micronutrients,14,FALSE)</f>
        <v>0</v>
      </c>
      <c r="C70" s="586">
        <f>VLOOKUP(A70,Micronutrients,18,FALSE)</f>
        <v>0</v>
      </c>
      <c r="D70" s="585">
        <f>VLOOKUP(A70,Micronutrients,16,FALSE)</f>
        <v>1</v>
      </c>
      <c r="E70" s="587">
        <v>0</v>
      </c>
      <c r="F70" s="588">
        <f>VLOOKUP(A70,Micronutrients,15,FALSE)</f>
        <v>0</v>
      </c>
      <c r="G70" s="736">
        <f>(E70*VLOOKUP(A70,Micronutrients,14,FALSE)/D70)*C70</f>
        <v>0</v>
      </c>
      <c r="H70" s="2"/>
      <c r="I70" s="2"/>
      <c r="J70" s="2"/>
      <c r="K70" s="49"/>
      <c r="L70" s="732"/>
      <c r="M70" s="584" t="s">
        <v>13</v>
      </c>
      <c r="N70" s="585">
        <f>VLOOKUP($A70,Micronutrients,14,FALSE)</f>
        <v>0</v>
      </c>
      <c r="O70" s="586">
        <f>VLOOKUP(M70,Micronutrients,18,FALSE)</f>
        <v>0</v>
      </c>
      <c r="P70" s="585">
        <f>VLOOKUP(M70,Micronutrients,16,FALSE)</f>
        <v>1</v>
      </c>
      <c r="Q70" s="587">
        <v>0</v>
      </c>
      <c r="R70" s="588">
        <f>VLOOKUP(M70,Micronutrients,15,FALSE)</f>
        <v>0</v>
      </c>
      <c r="S70" s="736">
        <f>(Q70*VLOOKUP(M70,Micronutrients,14,FALSE)/P70)*O70</f>
        <v>0</v>
      </c>
      <c r="T70" s="2"/>
      <c r="U70" s="2"/>
      <c r="V70" s="2"/>
      <c r="W70" s="49"/>
      <c r="X70" s="1032"/>
      <c r="Y70" s="584" t="s">
        <v>13</v>
      </c>
      <c r="Z70" s="585">
        <f>VLOOKUP($A70,Micronutrients,14,FALSE)</f>
        <v>0</v>
      </c>
      <c r="AA70" s="586">
        <f>VLOOKUP(Y70,Micronutrients,18,FALSE)</f>
        <v>0</v>
      </c>
      <c r="AB70" s="585">
        <f>VLOOKUP(Y70,Micronutrients,16,FALSE)</f>
        <v>1</v>
      </c>
      <c r="AC70" s="587">
        <v>0</v>
      </c>
      <c r="AD70" s="588">
        <f>VLOOKUP(Y70,Micronutrients,15,FALSE)</f>
        <v>0</v>
      </c>
      <c r="AE70" s="736">
        <f>(AC70*VLOOKUP(Y70,Micronutrients,14,FALSE)/AB70)*AA70</f>
        <v>0</v>
      </c>
      <c r="AF70" s="2"/>
      <c r="AG70" s="2"/>
      <c r="AH70" s="2"/>
      <c r="AI70" s="49"/>
    </row>
    <row r="71" spans="1:35" s="51" customFormat="1" ht="16.350000000000001" customHeight="1">
      <c r="A71" s="595"/>
      <c r="B71" s="821"/>
      <c r="C71" s="586"/>
      <c r="D71" s="821"/>
      <c r="E71" s="596"/>
      <c r="F71" s="588"/>
      <c r="G71" s="736"/>
      <c r="H71" s="2"/>
      <c r="I71" s="607" t="s">
        <v>886</v>
      </c>
      <c r="J71" s="607" t="s">
        <v>887</v>
      </c>
      <c r="K71" s="608" t="s">
        <v>888</v>
      </c>
      <c r="L71" s="732"/>
      <c r="M71" s="595"/>
      <c r="N71" s="821"/>
      <c r="O71" s="586"/>
      <c r="P71" s="821"/>
      <c r="Q71" s="596"/>
      <c r="R71" s="588"/>
      <c r="S71" s="736"/>
      <c r="T71" s="2"/>
      <c r="U71" s="607" t="s">
        <v>886</v>
      </c>
      <c r="V71" s="607" t="s">
        <v>887</v>
      </c>
      <c r="W71" s="608" t="s">
        <v>888</v>
      </c>
      <c r="X71" s="1032"/>
      <c r="Y71" s="595"/>
      <c r="Z71" s="821"/>
      <c r="AA71" s="586"/>
      <c r="AB71" s="821"/>
      <c r="AC71" s="596"/>
      <c r="AD71" s="588"/>
      <c r="AE71" s="736"/>
      <c r="AF71" s="2"/>
      <c r="AG71" s="607" t="s">
        <v>886</v>
      </c>
      <c r="AH71" s="607" t="s">
        <v>887</v>
      </c>
      <c r="AI71" s="608" t="s">
        <v>888</v>
      </c>
    </row>
    <row r="72" spans="1:35" s="51" customFormat="1" ht="16.350000000000001" customHeight="1">
      <c r="A72" s="595"/>
      <c r="B72" s="821"/>
      <c r="C72" s="586"/>
      <c r="D72" s="821"/>
      <c r="E72" s="596"/>
      <c r="F72" s="48"/>
      <c r="G72" s="736"/>
      <c r="H72" s="2"/>
      <c r="I72" s="722">
        <f>VLOOKUP(A63,Macronutrients,11,FALSE)*E63+VLOOKUP(A64,Macronutrients,11,FALSE)*E64+VLOOKUP(A65,Macronutrients,11,FALSE)*E65+VLOOKUP(A68,Micronutrients,11,FALSE)*E68+VLOOKUP(A69,Micronutrients,11,FALSE)*E69+VLOOKUP(A70,Micronutrients,11,FALSE)*E70</f>
        <v>0</v>
      </c>
      <c r="J72" s="722">
        <f>VLOOKUP(A63,Macronutrients,12,FALSE)*E63+VLOOKUP(A64,Macronutrients,12,FALSE)*E64+VLOOKUP(A65,Macronutrients,12,FALSE)*E65+VLOOKUP(A68,Micronutrients,12,FALSE)*E68+VLOOKUP(A69,Micronutrients,12,FALSE)*E69+VLOOKUP(A70,Micronutrients,12,FALSE)*E70</f>
        <v>0</v>
      </c>
      <c r="K72" s="723">
        <f>VLOOKUP(A63,Macronutrients,13,FALSE)*E63+VLOOKUP(A64,Macronutrients,13,FALSE)*E64+VLOOKUP(A65,Macronutrients,13,FALSE)*E65+VLOOKUP(A68,Micronutrients,13,FALSE)*E68+VLOOKUP(A69,Micronutrients,13,FALSE)*E69+VLOOKUP(A70,Micronutrients,13,FALSE)*E70</f>
        <v>0</v>
      </c>
      <c r="L72" s="732"/>
      <c r="M72" s="595"/>
      <c r="N72" s="821"/>
      <c r="O72" s="586"/>
      <c r="P72" s="821"/>
      <c r="Q72" s="596"/>
      <c r="R72" s="48"/>
      <c r="S72" s="736"/>
      <c r="T72" s="2"/>
      <c r="U72" s="722">
        <f>VLOOKUP(M63,Macronutrients,11,FALSE)*Q63+VLOOKUP(M64,Macronutrients,11,FALSE)*Q64+VLOOKUP(M65,Macronutrients,11,FALSE)*Q65+VLOOKUP(M68,Micronutrients,11,FALSE)*Q68+VLOOKUP(M69,Micronutrients,11,FALSE)*Q69+VLOOKUP(M70,Micronutrients,11,FALSE)*Q70</f>
        <v>0</v>
      </c>
      <c r="V72" s="722">
        <f>VLOOKUP(M63,Macronutrients,12,FALSE)*Q63+VLOOKUP(M64,Macronutrients,12,FALSE)*Q64+VLOOKUP(M65,Macronutrients,12,FALSE)*Q65+VLOOKUP(M68,Micronutrients,12,FALSE)*Q68+VLOOKUP(M69,Micronutrients,12,FALSE)*Q69+VLOOKUP(M70,Micronutrients,12,FALSE)*Q70</f>
        <v>0</v>
      </c>
      <c r="W72" s="723">
        <f>VLOOKUP(M63,Macronutrients,13,FALSE)*Q63+VLOOKUP(M64,Macronutrients,13,FALSE)*Q64+VLOOKUP(M65,Macronutrients,13,FALSE)*Q65+VLOOKUP(M68,Micronutrients,13,FALSE)*Q68+VLOOKUP(M69,Micronutrients,13,FALSE)*Q69+VLOOKUP(M70,Micronutrients,13,FALSE)*Q70</f>
        <v>0</v>
      </c>
      <c r="X72" s="1032"/>
      <c r="Y72" s="595"/>
      <c r="Z72" s="821"/>
      <c r="AA72" s="586"/>
      <c r="AB72" s="821"/>
      <c r="AC72" s="596"/>
      <c r="AD72" s="48"/>
      <c r="AE72" s="736"/>
      <c r="AF72" s="2"/>
      <c r="AG72" s="722">
        <f>VLOOKUP(Y63,Macronutrients,11,FALSE)*AC63+VLOOKUP(Y64,Macronutrients,11,FALSE)*AC64+VLOOKUP(Y65,Macronutrients,11,FALSE)*AC65+VLOOKUP(Y68,Micronutrients,11,FALSE)*AC68+VLOOKUP(Y69,Micronutrients,11,FALSE)*AC69+VLOOKUP(Y70,Micronutrients,11,FALSE)*AC70</f>
        <v>0</v>
      </c>
      <c r="AH72" s="722">
        <f>VLOOKUP(Y63,Macronutrients,12,FALSE)*AC63+VLOOKUP(Y64,Macronutrients,12,FALSE)*AC64+VLOOKUP(Y65,Macronutrients,12,FALSE)*AC65+VLOOKUP(Y68,Micronutrients,12,FALSE)*AC68+VLOOKUP(Y69,Micronutrients,12,FALSE)*AC69+VLOOKUP(Y70,Micronutrients,12,FALSE)*AC70</f>
        <v>0</v>
      </c>
      <c r="AI72" s="723">
        <f>VLOOKUP(Y63,Macronutrients,13,FALSE)*AC63+VLOOKUP(Y64,Macronutrients,13,FALSE)*AC64+VLOOKUP(Y65,Macronutrients,13,FALSE)*AC65+VLOOKUP(Y68,Micronutrients,13,FALSE)*AC68+VLOOKUP(Y69,Micronutrients,13,FALSE)*AC69+VLOOKUP(Y70,Micronutrients,13,FALSE)*AC70</f>
        <v>0</v>
      </c>
    </row>
    <row r="73" spans="1:35" s="51" customFormat="1" ht="16.350000000000001" customHeight="1">
      <c r="A73" s="105" t="s">
        <v>425</v>
      </c>
      <c r="B73" s="822"/>
      <c r="C73" s="823"/>
      <c r="D73" s="822"/>
      <c r="E73" s="824"/>
      <c r="F73" s="106"/>
      <c r="G73" s="826"/>
      <c r="H73" s="2"/>
      <c r="I73" s="825"/>
      <c r="J73" s="825"/>
      <c r="K73" s="724"/>
      <c r="L73" s="732"/>
      <c r="M73" s="105" t="s">
        <v>425</v>
      </c>
      <c r="N73" s="822"/>
      <c r="O73" s="823"/>
      <c r="P73" s="822"/>
      <c r="Q73" s="824"/>
      <c r="R73" s="106"/>
      <c r="S73" s="826"/>
      <c r="T73" s="2"/>
      <c r="U73" s="825"/>
      <c r="V73" s="825"/>
      <c r="W73" s="724"/>
      <c r="X73" s="1032"/>
      <c r="Y73" s="105" t="s">
        <v>425</v>
      </c>
      <c r="Z73" s="822"/>
      <c r="AA73" s="823"/>
      <c r="AB73" s="822"/>
      <c r="AC73" s="824"/>
      <c r="AD73" s="106"/>
      <c r="AE73" s="826"/>
      <c r="AF73" s="2"/>
      <c r="AG73" s="825"/>
      <c r="AH73" s="825"/>
      <c r="AI73" s="724"/>
    </row>
    <row r="74" spans="1:35" s="51" customFormat="1" ht="16.350000000000001" customHeight="1">
      <c r="A74" s="358" t="s">
        <v>13</v>
      </c>
      <c r="B74" s="585">
        <f>VLOOKUP(A74,NitrogenStabilizers,14,FALSE)</f>
        <v>0</v>
      </c>
      <c r="C74" s="586">
        <f>VLOOKUP(A74,NitrogenStabilizers,15,FALSE)</f>
        <v>0</v>
      </c>
      <c r="D74" s="585">
        <f>VLOOKUP(A74,NitrogenStabilizers,16,FALSE)</f>
        <v>1</v>
      </c>
      <c r="E74" s="587">
        <v>0</v>
      </c>
      <c r="F74" s="588">
        <f>VLOOKUP(A74,NitrogenStabilizers,15,FALSE)</f>
        <v>0</v>
      </c>
      <c r="G74" s="736">
        <f>(E74*VLOOKUP(A74,NitrogenStabilizers,14,FALSE)/D74)*C74</f>
        <v>0</v>
      </c>
      <c r="H74" s="2"/>
      <c r="I74" s="2"/>
      <c r="J74" s="2"/>
      <c r="K74" s="598" t="s">
        <v>255</v>
      </c>
      <c r="L74" s="732"/>
      <c r="M74" s="358" t="s">
        <v>13</v>
      </c>
      <c r="N74" s="585">
        <f>VLOOKUP(M74,NitrogenStabilizers,14,FALSE)</f>
        <v>0</v>
      </c>
      <c r="O74" s="586">
        <f>VLOOKUP(M74,NitrogenStabilizers,15,FALSE)</f>
        <v>0</v>
      </c>
      <c r="P74" s="585">
        <f>VLOOKUP(M74,NitrogenStabilizers,16,FALSE)</f>
        <v>1</v>
      </c>
      <c r="Q74" s="587">
        <v>0</v>
      </c>
      <c r="R74" s="588">
        <f>VLOOKUP(M74,NitrogenStabilizers,15,FALSE)</f>
        <v>0</v>
      </c>
      <c r="S74" s="736">
        <f>(Q74*VLOOKUP(M74,NitrogenStabilizers,14,FALSE)/P74)*O74</f>
        <v>0</v>
      </c>
      <c r="T74" s="2"/>
      <c r="U74" s="2"/>
      <c r="V74" s="2"/>
      <c r="W74" s="598" t="s">
        <v>255</v>
      </c>
      <c r="X74" s="1032"/>
      <c r="Y74" s="358" t="s">
        <v>13</v>
      </c>
      <c r="Z74" s="585">
        <f>VLOOKUP(Y74,NitrogenStabilizers,14,FALSE)</f>
        <v>0</v>
      </c>
      <c r="AA74" s="586">
        <f>VLOOKUP(Y74,NitrogenStabilizers,15,FALSE)</f>
        <v>0</v>
      </c>
      <c r="AB74" s="585">
        <f>VLOOKUP(Y74,NitrogenStabilizers,16,FALSE)</f>
        <v>1</v>
      </c>
      <c r="AC74" s="587">
        <v>0</v>
      </c>
      <c r="AD74" s="588">
        <f>VLOOKUP(Y74,NitrogenStabilizers,15,FALSE)</f>
        <v>0</v>
      </c>
      <c r="AE74" s="736">
        <f>(AC74*VLOOKUP(Y74,NitrogenStabilizers,14,FALSE)/AB74)*AA74</f>
        <v>0</v>
      </c>
      <c r="AF74" s="2"/>
      <c r="AG74" s="2"/>
      <c r="AH74" s="2"/>
      <c r="AI74" s="598" t="s">
        <v>255</v>
      </c>
    </row>
    <row r="75" spans="1:35" s="51" customFormat="1" ht="16.350000000000001" customHeight="1" thickBot="1">
      <c r="A75" s="599" t="s">
        <v>127</v>
      </c>
      <c r="B75" s="600"/>
      <c r="C75" s="600"/>
      <c r="D75" s="600"/>
      <c r="E75" s="601"/>
      <c r="F75" s="600"/>
      <c r="G75" s="602">
        <f>SUM(G63:G74)</f>
        <v>0</v>
      </c>
      <c r="H75" s="2"/>
      <c r="I75" s="2"/>
      <c r="J75" s="2"/>
      <c r="K75" s="598" t="s">
        <v>256</v>
      </c>
      <c r="L75" s="732"/>
      <c r="M75" s="599" t="s">
        <v>127</v>
      </c>
      <c r="N75" s="600"/>
      <c r="O75" s="600"/>
      <c r="P75" s="600"/>
      <c r="Q75" s="601"/>
      <c r="R75" s="600"/>
      <c r="S75" s="602">
        <f>SUM(S63:S74)</f>
        <v>0</v>
      </c>
      <c r="T75" s="2"/>
      <c r="U75" s="2"/>
      <c r="V75" s="2"/>
      <c r="W75" s="598" t="s">
        <v>256</v>
      </c>
      <c r="X75" s="1032"/>
      <c r="Y75" s="599" t="s">
        <v>127</v>
      </c>
      <c r="Z75" s="600"/>
      <c r="AA75" s="600"/>
      <c r="AB75" s="600"/>
      <c r="AC75" s="601"/>
      <c r="AD75" s="600"/>
      <c r="AE75" s="602">
        <f>SUM(AE63:AE74)</f>
        <v>0</v>
      </c>
      <c r="AF75" s="2"/>
      <c r="AG75" s="2"/>
      <c r="AH75" s="2"/>
      <c r="AI75" s="598" t="s">
        <v>256</v>
      </c>
    </row>
    <row r="76" spans="1:35" s="51" customFormat="1" ht="16.350000000000001" customHeight="1" thickTop="1">
      <c r="A76" s="545"/>
      <c r="B76" s="118"/>
      <c r="C76" s="118"/>
      <c r="D76" s="118"/>
      <c r="E76" s="118"/>
      <c r="F76" s="118"/>
      <c r="G76" s="116"/>
      <c r="H76" s="2"/>
      <c r="I76" s="2"/>
      <c r="J76" s="2"/>
      <c r="K76" s="603" t="s">
        <v>254</v>
      </c>
      <c r="L76" s="732"/>
      <c r="M76" s="545"/>
      <c r="N76" s="118"/>
      <c r="O76" s="118"/>
      <c r="P76" s="118"/>
      <c r="Q76" s="118"/>
      <c r="R76" s="118"/>
      <c r="S76" s="116"/>
      <c r="T76" s="2"/>
      <c r="U76" s="2"/>
      <c r="V76" s="2"/>
      <c r="W76" s="603" t="s">
        <v>254</v>
      </c>
      <c r="X76" s="1032"/>
      <c r="Y76" s="545"/>
      <c r="Z76" s="118"/>
      <c r="AA76" s="118"/>
      <c r="AB76" s="118"/>
      <c r="AC76" s="118"/>
      <c r="AD76" s="118"/>
      <c r="AE76" s="116"/>
      <c r="AF76" s="2"/>
      <c r="AG76" s="2"/>
      <c r="AH76" s="2"/>
      <c r="AI76" s="603" t="s">
        <v>254</v>
      </c>
    </row>
    <row r="77" spans="1:35" s="51" customFormat="1" ht="16.350000000000001" customHeight="1" thickBot="1">
      <c r="A77" s="24"/>
      <c r="B77" s="97"/>
      <c r="C77" s="97"/>
      <c r="D77" s="97"/>
      <c r="E77" s="97"/>
      <c r="F77" s="97"/>
      <c r="G77" s="97"/>
      <c r="H77" s="97"/>
      <c r="I77" s="97"/>
      <c r="J77" s="97"/>
      <c r="K77" s="604"/>
      <c r="L77" s="732"/>
      <c r="M77" s="24"/>
      <c r="N77" s="97"/>
      <c r="O77" s="97"/>
      <c r="P77" s="97"/>
      <c r="Q77" s="97"/>
      <c r="R77" s="97"/>
      <c r="S77" s="97"/>
      <c r="T77" s="97"/>
      <c r="U77" s="97"/>
      <c r="V77" s="97"/>
      <c r="W77" s="604"/>
      <c r="X77" s="1032"/>
      <c r="Y77" s="24"/>
      <c r="Z77" s="97"/>
      <c r="AA77" s="97"/>
      <c r="AB77" s="97"/>
      <c r="AC77" s="97"/>
      <c r="AD77" s="97"/>
      <c r="AE77" s="97"/>
      <c r="AF77" s="97"/>
      <c r="AG77" s="97"/>
      <c r="AH77" s="97"/>
      <c r="AI77" s="604"/>
    </row>
    <row r="78" spans="1:35" s="51" customFormat="1" ht="16.350000000000001" customHeight="1" thickBot="1">
      <c r="A78" s="1026" t="s">
        <v>941</v>
      </c>
      <c r="B78" s="1027"/>
      <c r="C78" s="1027"/>
      <c r="D78" s="1027"/>
      <c r="E78" s="1027"/>
      <c r="F78" s="1027"/>
      <c r="G78" s="1027"/>
      <c r="H78" s="1027"/>
      <c r="I78" s="1027"/>
      <c r="J78" s="1027"/>
      <c r="K78" s="1028"/>
      <c r="L78" s="732"/>
      <c r="M78" s="1026" t="s">
        <v>941</v>
      </c>
      <c r="N78" s="1027"/>
      <c r="O78" s="1027"/>
      <c r="P78" s="1027"/>
      <c r="Q78" s="1027"/>
      <c r="R78" s="1027"/>
      <c r="S78" s="1027"/>
      <c r="T78" s="1027"/>
      <c r="U78" s="1027"/>
      <c r="V78" s="1027"/>
      <c r="W78" s="1028"/>
      <c r="X78" s="1032"/>
      <c r="Y78" s="1026" t="s">
        <v>941</v>
      </c>
      <c r="Z78" s="1027"/>
      <c r="AA78" s="1027"/>
      <c r="AB78" s="1027"/>
      <c r="AC78" s="1027"/>
      <c r="AD78" s="1027"/>
      <c r="AE78" s="1027"/>
      <c r="AF78" s="1027"/>
      <c r="AG78" s="1027"/>
      <c r="AH78" s="1027"/>
      <c r="AI78" s="1028"/>
    </row>
    <row r="79" spans="1:35" s="51" customFormat="1" ht="16.350000000000001" customHeight="1">
      <c r="A79" s="810" t="s">
        <v>126</v>
      </c>
      <c r="B79" s="811" t="s">
        <v>106</v>
      </c>
      <c r="C79" s="812" t="s">
        <v>107</v>
      </c>
      <c r="D79" s="813" t="s">
        <v>12</v>
      </c>
      <c r="E79" s="813" t="s">
        <v>108</v>
      </c>
      <c r="F79" s="811" t="s">
        <v>11</v>
      </c>
      <c r="G79" s="813" t="s">
        <v>109</v>
      </c>
      <c r="H79" s="814"/>
      <c r="I79" s="814"/>
      <c r="J79" s="814"/>
      <c r="K79" s="815"/>
      <c r="L79" s="732"/>
      <c r="M79" s="810" t="s">
        <v>126</v>
      </c>
      <c r="N79" s="811" t="s">
        <v>106</v>
      </c>
      <c r="O79" s="812" t="s">
        <v>107</v>
      </c>
      <c r="P79" s="813" t="s">
        <v>12</v>
      </c>
      <c r="Q79" s="813" t="s">
        <v>108</v>
      </c>
      <c r="R79" s="811" t="s">
        <v>11</v>
      </c>
      <c r="S79" s="813" t="s">
        <v>109</v>
      </c>
      <c r="T79" s="814"/>
      <c r="U79" s="814"/>
      <c r="V79" s="814"/>
      <c r="W79" s="815"/>
      <c r="X79" s="1032"/>
      <c r="Y79" s="810" t="s">
        <v>126</v>
      </c>
      <c r="Z79" s="811" t="s">
        <v>106</v>
      </c>
      <c r="AA79" s="812" t="s">
        <v>107</v>
      </c>
      <c r="AB79" s="813" t="s">
        <v>12</v>
      </c>
      <c r="AC79" s="813" t="s">
        <v>108</v>
      </c>
      <c r="AD79" s="811" t="s">
        <v>11</v>
      </c>
      <c r="AE79" s="813" t="s">
        <v>109</v>
      </c>
      <c r="AF79" s="814"/>
      <c r="AG79" s="814"/>
      <c r="AH79" s="814"/>
      <c r="AI79" s="815"/>
    </row>
    <row r="80" spans="1:35" s="51" customFormat="1" ht="16.350000000000001" customHeight="1">
      <c r="A80" s="105" t="s">
        <v>500</v>
      </c>
      <c r="B80" s="48"/>
      <c r="C80" s="820"/>
      <c r="D80" s="36"/>
      <c r="E80" s="45" t="s">
        <v>128</v>
      </c>
      <c r="F80" s="41"/>
      <c r="G80" s="38"/>
      <c r="H80" s="2"/>
      <c r="I80" s="607" t="s">
        <v>96</v>
      </c>
      <c r="J80" s="607" t="s">
        <v>97</v>
      </c>
      <c r="K80" s="608" t="s">
        <v>98</v>
      </c>
      <c r="L80" s="732"/>
      <c r="M80" s="105" t="s">
        <v>500</v>
      </c>
      <c r="N80" s="48"/>
      <c r="O80" s="820"/>
      <c r="P80" s="36"/>
      <c r="Q80" s="45" t="s">
        <v>128</v>
      </c>
      <c r="R80" s="41"/>
      <c r="S80" s="38"/>
      <c r="T80" s="2"/>
      <c r="U80" s="607" t="s">
        <v>96</v>
      </c>
      <c r="V80" s="607" t="s">
        <v>97</v>
      </c>
      <c r="W80" s="608" t="s">
        <v>98</v>
      </c>
      <c r="X80" s="1032"/>
      <c r="Y80" s="105" t="s">
        <v>500</v>
      </c>
      <c r="Z80" s="48"/>
      <c r="AA80" s="820"/>
      <c r="AB80" s="36"/>
      <c r="AC80" s="45" t="s">
        <v>128</v>
      </c>
      <c r="AD80" s="41"/>
      <c r="AE80" s="38"/>
      <c r="AF80" s="2"/>
      <c r="AG80" s="607" t="s">
        <v>96</v>
      </c>
      <c r="AH80" s="607" t="s">
        <v>97</v>
      </c>
      <c r="AI80" s="608" t="s">
        <v>98</v>
      </c>
    </row>
    <row r="81" spans="1:35" s="51" customFormat="1" ht="16.350000000000001" customHeight="1">
      <c r="A81" s="584" t="s">
        <v>13</v>
      </c>
      <c r="B81" s="585">
        <f t="shared" ref="B81:B83" si="60">VLOOKUP(A81,Macronutrients,14,FALSE)</f>
        <v>0</v>
      </c>
      <c r="C81" s="586">
        <f t="shared" ref="C81:C83" si="61">VLOOKUP(A81,Macronutrients,18,FALSE)</f>
        <v>0</v>
      </c>
      <c r="D81" s="585">
        <f t="shared" ref="D81:D83" si="62">VLOOKUP(A81,Macronutrients,16,FALSE)</f>
        <v>1</v>
      </c>
      <c r="E81" s="587">
        <v>0</v>
      </c>
      <c r="F81" s="588">
        <f t="shared" ref="F81:F83" si="63">VLOOKUP(A81,Macronutrients,15,FALSE)</f>
        <v>0</v>
      </c>
      <c r="G81" s="736">
        <f t="shared" ref="G81:G83" si="64">(E81*VLOOKUP(A81,Macronutrients,14,FALSE)/D81)*C81</f>
        <v>0</v>
      </c>
      <c r="H81" s="2"/>
      <c r="I81" s="725">
        <f>VLOOKUP(A81,Macronutrients,2,FALSE)*E81+VLOOKUP(A82,Macronutrients,2,FALSE)*E82+VLOOKUP(A83,Macronutrients,2,FALSE)*E83+VLOOKUP(A86,Micronutrients,2,FALSE)*E86+VLOOKUP(A87,Micronutrients,2,FALSE)*E87+VLOOKUP(A88,Micronutrients,2,FALSE)*E88</f>
        <v>0</v>
      </c>
      <c r="J81" s="589">
        <f>VLOOKUP(A81,Macronutrients,3,FALSE)*E81+VLOOKUP(A82,Macronutrients,3,FALSE)*E82+VLOOKUP(A83,Macronutrients,3,FALSE)*E83+VLOOKUP(A86,Micronutrients,3,FALSE)*E86+VLOOKUP(A87,Micronutrients,3,FALSE)*E87+VLOOKUP(A88,Micronutrients,3,FALSE)*E88</f>
        <v>0</v>
      </c>
      <c r="K81" s="590">
        <f>VLOOKUP(A81,Macronutrients,4,FALSE)*E81+VLOOKUP(A82,Macronutrients,4,FALSE)*E82+VLOOKUP(A83,Macronutrients,4,FALSE)*E83+VLOOKUP(A86,Micronutrients,4,FALSE)*E86+VLOOKUP(A87,Micronutrients,4,FALSE)*E87+VLOOKUP(A88,Micronutrients,4,FALSE)*E88</f>
        <v>0</v>
      </c>
      <c r="L81" s="732"/>
      <c r="M81" s="584" t="s">
        <v>13</v>
      </c>
      <c r="N81" s="585">
        <f t="shared" ref="N81:N83" si="65">VLOOKUP(M81,Macronutrients,14,FALSE)</f>
        <v>0</v>
      </c>
      <c r="O81" s="586">
        <f t="shared" ref="O81:O83" si="66">VLOOKUP(M81,Macronutrients,18,FALSE)</f>
        <v>0</v>
      </c>
      <c r="P81" s="585">
        <f t="shared" ref="P81:P83" si="67">VLOOKUP(M81,Macronutrients,16,FALSE)</f>
        <v>1</v>
      </c>
      <c r="Q81" s="587">
        <v>0</v>
      </c>
      <c r="R81" s="588">
        <f t="shared" ref="R81:R83" si="68">VLOOKUP(M81,Macronutrients,15,FALSE)</f>
        <v>0</v>
      </c>
      <c r="S81" s="736">
        <f t="shared" ref="S81:S83" si="69">(Q81*VLOOKUP(M81,Macronutrients,14,FALSE)/P81)*O81</f>
        <v>0</v>
      </c>
      <c r="T81" s="2"/>
      <c r="U81" s="725">
        <f>VLOOKUP(M81,Macronutrients,2,FALSE)*Q81+VLOOKUP(M82,Macronutrients,2,FALSE)*Q82+VLOOKUP(M83,Macronutrients,2,FALSE)*Q83+VLOOKUP(M86,Micronutrients,2,FALSE)*Q86+VLOOKUP(M87,Micronutrients,2,FALSE)*Q87+VLOOKUP(M88,Micronutrients,2,FALSE)*Q88</f>
        <v>0</v>
      </c>
      <c r="V81" s="589">
        <f>VLOOKUP(M81,Macronutrients,3,FALSE)*Q81+VLOOKUP(M82,Macronutrients,3,FALSE)*Q82+VLOOKUP(M83,Macronutrients,3,FALSE)*Q83+VLOOKUP(M86,Micronutrients,3,FALSE)*Q86+VLOOKUP(M87,Micronutrients,3,FALSE)*Q87+VLOOKUP(M88,Micronutrients,3,FALSE)*Q88</f>
        <v>0</v>
      </c>
      <c r="W81" s="590">
        <f>VLOOKUP(M81,Macronutrients,4,FALSE)*Q81+VLOOKUP(M82,Macronutrients,4,FALSE)*Q82+VLOOKUP(M83,Macronutrients,4,FALSE)*Q83+VLOOKUP(M86,Micronutrients,4,FALSE)*Q86+VLOOKUP(M87,Micronutrients,4,FALSE)*Q87+VLOOKUP(M88,Micronutrients,4,FALSE)*Q88</f>
        <v>0</v>
      </c>
      <c r="X81" s="1032"/>
      <c r="Y81" s="584" t="s">
        <v>13</v>
      </c>
      <c r="Z81" s="585">
        <f t="shared" ref="Z81:Z83" si="70">VLOOKUP(Y81,Macronutrients,14,FALSE)</f>
        <v>0</v>
      </c>
      <c r="AA81" s="586">
        <f t="shared" ref="AA81:AA83" si="71">VLOOKUP(Y81,Macronutrients,18,FALSE)</f>
        <v>0</v>
      </c>
      <c r="AB81" s="585">
        <f t="shared" ref="AB81:AB83" si="72">VLOOKUP(Y81,Macronutrients,16,FALSE)</f>
        <v>1</v>
      </c>
      <c r="AC81" s="587">
        <v>0</v>
      </c>
      <c r="AD81" s="588">
        <f t="shared" ref="AD81:AD83" si="73">VLOOKUP(Y81,Macronutrients,15,FALSE)</f>
        <v>0</v>
      </c>
      <c r="AE81" s="736">
        <f t="shared" ref="AE81:AE83" si="74">(AC81*VLOOKUP(Y81,Macronutrients,14,FALSE)/AB81)*AA81</f>
        <v>0</v>
      </c>
      <c r="AF81" s="2"/>
      <c r="AG81" s="725">
        <f>VLOOKUP(Y81,Macronutrients,2,FALSE)*AC81+VLOOKUP(Y82,Macronutrients,2,FALSE)*AC82+VLOOKUP(Y83,Macronutrients,2,FALSE)*AC83+VLOOKUP(Y86,Micronutrients,2,FALSE)*AC86+VLOOKUP(Y87,Micronutrients,2,FALSE)*AC87+VLOOKUP(Y88,Micronutrients,2,FALSE)*AC88</f>
        <v>0</v>
      </c>
      <c r="AH81" s="589">
        <f>VLOOKUP(Y81,Macronutrients,3,FALSE)*AC81+VLOOKUP(Y82,Macronutrients,3,FALSE)*AC82+VLOOKUP(Y83,Macronutrients,3,FALSE)*AC83+VLOOKUP(Y86,Micronutrients,3,FALSE)*AC86+VLOOKUP(Y87,Micronutrients,3,FALSE)*AC87+VLOOKUP(Y88,Micronutrients,3,FALSE)*AC88</f>
        <v>0</v>
      </c>
      <c r="AI81" s="590">
        <f>VLOOKUP(Y81,Macronutrients,4,FALSE)*AC81+VLOOKUP(Y82,Macronutrients,4,FALSE)*AC82+VLOOKUP(Y83,Macronutrients,4,FALSE)*AC83+VLOOKUP(Y86,Micronutrients,4,FALSE)*AC86+VLOOKUP(Y87,Micronutrients,4,FALSE)*AC87+VLOOKUP(Y88,Micronutrients,4,FALSE)*AC88</f>
        <v>0</v>
      </c>
    </row>
    <row r="82" spans="1:35" s="51" customFormat="1" ht="16.350000000000001" customHeight="1">
      <c r="A82" s="584" t="s">
        <v>13</v>
      </c>
      <c r="B82" s="585">
        <f t="shared" si="60"/>
        <v>0</v>
      </c>
      <c r="C82" s="586">
        <f t="shared" si="61"/>
        <v>0</v>
      </c>
      <c r="D82" s="585">
        <f t="shared" si="62"/>
        <v>1</v>
      </c>
      <c r="E82" s="587">
        <v>0</v>
      </c>
      <c r="F82" s="588">
        <f t="shared" si="63"/>
        <v>0</v>
      </c>
      <c r="G82" s="736">
        <f t="shared" si="64"/>
        <v>0</v>
      </c>
      <c r="H82" s="2"/>
      <c r="I82" s="592"/>
      <c r="J82" s="592"/>
      <c r="K82" s="593"/>
      <c r="L82" s="732"/>
      <c r="M82" s="584" t="s">
        <v>13</v>
      </c>
      <c r="N82" s="585">
        <f t="shared" si="65"/>
        <v>0</v>
      </c>
      <c r="O82" s="586">
        <f t="shared" si="66"/>
        <v>0</v>
      </c>
      <c r="P82" s="585">
        <f t="shared" si="67"/>
        <v>1</v>
      </c>
      <c r="Q82" s="587">
        <v>0</v>
      </c>
      <c r="R82" s="588">
        <f t="shared" si="68"/>
        <v>0</v>
      </c>
      <c r="S82" s="736">
        <f t="shared" si="69"/>
        <v>0</v>
      </c>
      <c r="T82" s="2"/>
      <c r="U82" s="592"/>
      <c r="V82" s="592"/>
      <c r="W82" s="593"/>
      <c r="X82" s="1032"/>
      <c r="Y82" s="584" t="s">
        <v>13</v>
      </c>
      <c r="Z82" s="585">
        <f t="shared" si="70"/>
        <v>0</v>
      </c>
      <c r="AA82" s="586">
        <f t="shared" si="71"/>
        <v>0</v>
      </c>
      <c r="AB82" s="585">
        <f t="shared" si="72"/>
        <v>1</v>
      </c>
      <c r="AC82" s="587">
        <v>0</v>
      </c>
      <c r="AD82" s="588">
        <f t="shared" si="73"/>
        <v>0</v>
      </c>
      <c r="AE82" s="736">
        <f t="shared" si="74"/>
        <v>0</v>
      </c>
      <c r="AF82" s="2"/>
      <c r="AG82" s="592"/>
      <c r="AH82" s="592"/>
      <c r="AI82" s="593"/>
    </row>
    <row r="83" spans="1:35" s="51" customFormat="1" ht="16.350000000000001" customHeight="1">
      <c r="A83" s="584" t="s">
        <v>13</v>
      </c>
      <c r="B83" s="585">
        <f t="shared" si="60"/>
        <v>0</v>
      </c>
      <c r="C83" s="586">
        <f t="shared" si="61"/>
        <v>0</v>
      </c>
      <c r="D83" s="585">
        <f t="shared" si="62"/>
        <v>1</v>
      </c>
      <c r="E83" s="587">
        <v>0</v>
      </c>
      <c r="F83" s="588">
        <f t="shared" si="63"/>
        <v>0</v>
      </c>
      <c r="G83" s="736">
        <f t="shared" si="64"/>
        <v>0</v>
      </c>
      <c r="I83" s="607" t="s">
        <v>99</v>
      </c>
      <c r="J83" s="607" t="s">
        <v>100</v>
      </c>
      <c r="K83" s="608" t="s">
        <v>101</v>
      </c>
      <c r="L83" s="732"/>
      <c r="M83" s="584" t="s">
        <v>13</v>
      </c>
      <c r="N83" s="585">
        <f t="shared" si="65"/>
        <v>0</v>
      </c>
      <c r="O83" s="586">
        <f t="shared" si="66"/>
        <v>0</v>
      </c>
      <c r="P83" s="585">
        <f t="shared" si="67"/>
        <v>1</v>
      </c>
      <c r="Q83" s="587">
        <v>0</v>
      </c>
      <c r="R83" s="588">
        <f t="shared" si="68"/>
        <v>0</v>
      </c>
      <c r="S83" s="736">
        <f t="shared" si="69"/>
        <v>0</v>
      </c>
      <c r="U83" s="607" t="s">
        <v>99</v>
      </c>
      <c r="V83" s="607" t="s">
        <v>100</v>
      </c>
      <c r="W83" s="608" t="s">
        <v>101</v>
      </c>
      <c r="X83" s="1032"/>
      <c r="Y83" s="584" t="s">
        <v>13</v>
      </c>
      <c r="Z83" s="585">
        <f t="shared" si="70"/>
        <v>0</v>
      </c>
      <c r="AA83" s="586">
        <f t="shared" si="71"/>
        <v>0</v>
      </c>
      <c r="AB83" s="585">
        <f t="shared" si="72"/>
        <v>1</v>
      </c>
      <c r="AC83" s="587">
        <v>0</v>
      </c>
      <c r="AD83" s="588">
        <f t="shared" si="73"/>
        <v>0</v>
      </c>
      <c r="AE83" s="736">
        <f t="shared" si="74"/>
        <v>0</v>
      </c>
      <c r="AG83" s="607" t="s">
        <v>99</v>
      </c>
      <c r="AH83" s="607" t="s">
        <v>100</v>
      </c>
      <c r="AI83" s="608" t="s">
        <v>101</v>
      </c>
    </row>
    <row r="84" spans="1:35" s="51" customFormat="1" ht="16.350000000000001" customHeight="1">
      <c r="A84" s="595"/>
      <c r="B84" s="38"/>
      <c r="C84" s="586"/>
      <c r="D84" s="588"/>
      <c r="E84" s="111"/>
      <c r="F84" s="588"/>
      <c r="G84" s="736"/>
      <c r="H84" s="2"/>
      <c r="I84" s="589">
        <f>VLOOKUP(A81,Macronutrients,5,FALSE)*E81+VLOOKUP(A82,Macronutrients,5,FALSE)*E82+VLOOKUP(A83,Macronutrients,5,FALSE)*E83+VLOOKUP(A86,Micronutrients,5,FALSE)*E86+VLOOKUP(A87,Micronutrients,5,FALSE)*E87+VLOOKUP(A88,Micronutrients,5,FALSE)*E88</f>
        <v>0</v>
      </c>
      <c r="J84" s="589">
        <f>VLOOKUP(A81,Macronutrients,7,FALSE)*E81+VLOOKUP(A82,Macronutrients,7,FALSE)*E82+VLOOKUP(A83,Macronutrients,7,FALSE)*E83+VLOOKUP(A86,Micronutrients,7,FALSE)*E86+VLOOKUP(A87,Micronutrients,7,FALSE)*E87+VLOOKUP(A88,Micronutrients,7,FALSE)*E88</f>
        <v>0</v>
      </c>
      <c r="K84" s="590">
        <f>VLOOKUP($A81,Macronutrients,6,FALSE)*$E$6+VLOOKUP($A82,Macronutrients,6,FALSE)*$E$7+VLOOKUP($A83,Macronutrients,6,FALSE)*$E$8+VLOOKUP($A86,Micronutrients,6,FALSE)*$E$11+VLOOKUP($A87,Micronutrients,6,FALSE)*E87+VLOOKUP($A88,Micronutrients,6,FALSE)*$E$13</f>
        <v>0</v>
      </c>
      <c r="L84" s="732"/>
      <c r="M84" s="595"/>
      <c r="N84" s="38"/>
      <c r="O84" s="586"/>
      <c r="P84" s="588"/>
      <c r="Q84" s="111"/>
      <c r="R84" s="588"/>
      <c r="S84" s="736"/>
      <c r="T84" s="2"/>
      <c r="U84" s="589">
        <f>VLOOKUP(M81,Macronutrients,5,FALSE)*Q81+VLOOKUP(M82,Macronutrients,5,FALSE)*Q82+VLOOKUP(M83,Macronutrients,5,FALSE)*Q83+VLOOKUP(M86,Micronutrients,5,FALSE)*Q86+VLOOKUP(M87,Micronutrients,5,FALSE)*Q87+VLOOKUP(M88,Micronutrients,5,FALSE)*Q88</f>
        <v>0</v>
      </c>
      <c r="V84" s="589">
        <f>VLOOKUP(M81,Macronutrients,7,FALSE)*Q81+VLOOKUP(M82,Macronutrients,7,FALSE)*Q82+VLOOKUP(M83,Macronutrients,7,FALSE)*Q83+VLOOKUP(M86,Micronutrients,7,FALSE)*Q86+VLOOKUP(M87,Micronutrients,7,FALSE)*Q87+VLOOKUP(M88,Micronutrients,7,FALSE)*Q88</f>
        <v>0</v>
      </c>
      <c r="W84" s="590">
        <f>VLOOKUP($A81,Macronutrients,6,FALSE)*$E$6+VLOOKUP($A82,Macronutrients,6,FALSE)*$E$7+VLOOKUP($A83,Macronutrients,6,FALSE)*$E$8+VLOOKUP($A86,Micronutrients,6,FALSE)*$E$11+VLOOKUP($A87,Micronutrients,6,FALSE)*Q87+VLOOKUP($A88,Micronutrients,6,FALSE)*$E$13</f>
        <v>0</v>
      </c>
      <c r="X84" s="1032"/>
      <c r="Y84" s="595"/>
      <c r="Z84" s="38"/>
      <c r="AA84" s="586"/>
      <c r="AB84" s="588"/>
      <c r="AC84" s="111"/>
      <c r="AD84" s="588"/>
      <c r="AE84" s="736"/>
      <c r="AF84" s="2"/>
      <c r="AG84" s="589">
        <f>VLOOKUP(Y81,Macronutrients,5,FALSE)*AC81+VLOOKUP(Y82,Macronutrients,5,FALSE)*AC82+VLOOKUP(Y83,Macronutrients,5,FALSE)*AC83+VLOOKUP(Y86,Micronutrients,5,FALSE)*AC86+VLOOKUP(Y87,Micronutrients,5,FALSE)*AC87+VLOOKUP(Y88,Micronutrients,5,FALSE)*AC88</f>
        <v>0</v>
      </c>
      <c r="AH84" s="589">
        <f>VLOOKUP(Y81,Macronutrients,7,FALSE)*AC81+VLOOKUP(Y82,Macronutrients,7,FALSE)*AC82+VLOOKUP(Y83,Macronutrients,7,FALSE)*AC83+VLOOKUP(Y86,Micronutrients,7,FALSE)*AC86+VLOOKUP(Y87,Micronutrients,7,FALSE)*AC87+VLOOKUP(Y88,Micronutrients,7,FALSE)*AC88</f>
        <v>0</v>
      </c>
      <c r="AI84" s="590">
        <f>VLOOKUP($A81,Macronutrients,6,FALSE)*$E$6+VLOOKUP($A82,Macronutrients,6,FALSE)*$E$7+VLOOKUP($A83,Macronutrients,6,FALSE)*$E$8+VLOOKUP($A86,Micronutrients,6,FALSE)*$E$11+VLOOKUP($A87,Micronutrients,6,FALSE)*AC87+VLOOKUP($A88,Micronutrients,6,FALSE)*$E$13</f>
        <v>0</v>
      </c>
    </row>
    <row r="85" spans="1:35" s="51" customFormat="1" ht="16.350000000000001" customHeight="1">
      <c r="A85" s="105" t="s">
        <v>501</v>
      </c>
      <c r="B85" s="821"/>
      <c r="C85" s="586"/>
      <c r="D85" s="821"/>
      <c r="E85" s="596"/>
      <c r="F85" s="48"/>
      <c r="G85" s="736"/>
      <c r="H85" s="2"/>
      <c r="I85" s="592"/>
      <c r="J85" s="592"/>
      <c r="K85" s="593"/>
      <c r="L85" s="732"/>
      <c r="M85" s="105" t="s">
        <v>501</v>
      </c>
      <c r="N85" s="821"/>
      <c r="O85" s="586"/>
      <c r="P85" s="821"/>
      <c r="Q85" s="596"/>
      <c r="R85" s="48"/>
      <c r="S85" s="736"/>
      <c r="T85" s="2"/>
      <c r="U85" s="592"/>
      <c r="V85" s="592"/>
      <c r="W85" s="593"/>
      <c r="X85" s="1032"/>
      <c r="Y85" s="105" t="s">
        <v>501</v>
      </c>
      <c r="Z85" s="821"/>
      <c r="AA85" s="586"/>
      <c r="AB85" s="821"/>
      <c r="AC85" s="596"/>
      <c r="AD85" s="48"/>
      <c r="AE85" s="736"/>
      <c r="AF85" s="2"/>
      <c r="AG85" s="592"/>
      <c r="AH85" s="592"/>
      <c r="AI85" s="593"/>
    </row>
    <row r="86" spans="1:35" s="51" customFormat="1" ht="16.350000000000001" customHeight="1">
      <c r="A86" s="584" t="s">
        <v>13</v>
      </c>
      <c r="B86" s="585">
        <f>VLOOKUP($A86,Micronutrients,14,FALSE)</f>
        <v>0</v>
      </c>
      <c r="C86" s="586">
        <f>VLOOKUP(A86,Micronutrients,18,FALSE)</f>
        <v>0</v>
      </c>
      <c r="D86" s="585">
        <f>VLOOKUP(A86,Micronutrients,16,FALSE)</f>
        <v>1</v>
      </c>
      <c r="E86" s="587">
        <v>0</v>
      </c>
      <c r="F86" s="588">
        <f>VLOOKUP(A86,Micronutrients,15,FALSE)</f>
        <v>0</v>
      </c>
      <c r="G86" s="736">
        <f>(E86*VLOOKUP(A86,Micronutrients,14,FALSE)/D86)*C86</f>
        <v>0</v>
      </c>
      <c r="H86" s="2"/>
      <c r="I86" s="607" t="s">
        <v>102</v>
      </c>
      <c r="J86" s="607" t="s">
        <v>103</v>
      </c>
      <c r="K86" s="608" t="s">
        <v>104</v>
      </c>
      <c r="L86" s="732"/>
      <c r="M86" s="584" t="s">
        <v>13</v>
      </c>
      <c r="N86" s="585">
        <f>VLOOKUP($A86,Micronutrients,14,FALSE)</f>
        <v>0</v>
      </c>
      <c r="O86" s="586">
        <f>VLOOKUP(M86,Micronutrients,18,FALSE)</f>
        <v>0</v>
      </c>
      <c r="P86" s="585">
        <f>VLOOKUP(M86,Micronutrients,16,FALSE)</f>
        <v>1</v>
      </c>
      <c r="Q86" s="587">
        <v>0</v>
      </c>
      <c r="R86" s="588">
        <f>VLOOKUP(M86,Micronutrients,15,FALSE)</f>
        <v>0</v>
      </c>
      <c r="S86" s="736">
        <f>(Q86*VLOOKUP(M86,Micronutrients,14,FALSE)/P86)*O86</f>
        <v>0</v>
      </c>
      <c r="T86" s="2"/>
      <c r="U86" s="607" t="s">
        <v>102</v>
      </c>
      <c r="V86" s="607" t="s">
        <v>103</v>
      </c>
      <c r="W86" s="608" t="s">
        <v>104</v>
      </c>
      <c r="X86" s="1032"/>
      <c r="Y86" s="584" t="s">
        <v>13</v>
      </c>
      <c r="Z86" s="585">
        <f>VLOOKUP($A86,Micronutrients,14,FALSE)</f>
        <v>0</v>
      </c>
      <c r="AA86" s="586">
        <f>VLOOKUP(Y86,Micronutrients,18,FALSE)</f>
        <v>0</v>
      </c>
      <c r="AB86" s="585">
        <f>VLOOKUP(Y86,Micronutrients,16,FALSE)</f>
        <v>1</v>
      </c>
      <c r="AC86" s="587">
        <v>0</v>
      </c>
      <c r="AD86" s="588">
        <f>VLOOKUP(Y86,Micronutrients,15,FALSE)</f>
        <v>0</v>
      </c>
      <c r="AE86" s="736">
        <f>(AC86*VLOOKUP(Y86,Micronutrients,14,FALSE)/AB86)*AA86</f>
        <v>0</v>
      </c>
      <c r="AF86" s="2"/>
      <c r="AG86" s="607" t="s">
        <v>102</v>
      </c>
      <c r="AH86" s="607" t="s">
        <v>103</v>
      </c>
      <c r="AI86" s="608" t="s">
        <v>104</v>
      </c>
    </row>
    <row r="87" spans="1:35" s="51" customFormat="1" ht="16.350000000000001" customHeight="1">
      <c r="A87" s="584" t="s">
        <v>13</v>
      </c>
      <c r="B87" s="585">
        <f>VLOOKUP($A87,Micronutrients,14,FALSE)</f>
        <v>0</v>
      </c>
      <c r="C87" s="586">
        <f>VLOOKUP(A87,Micronutrients,18,FALSE)</f>
        <v>0</v>
      </c>
      <c r="D87" s="585">
        <f>VLOOKUP(A87,Micronutrients,16,FALSE)</f>
        <v>1</v>
      </c>
      <c r="E87" s="587">
        <v>0</v>
      </c>
      <c r="F87" s="588">
        <f>VLOOKUP(A87,Micronutrients,15,FALSE)</f>
        <v>0</v>
      </c>
      <c r="G87" s="736">
        <f>(E87*VLOOKUP(A87,Micronutrients,14,FALSE)/D87)*C87</f>
        <v>0</v>
      </c>
      <c r="H87" s="2"/>
      <c r="I87" s="722">
        <f>VLOOKUP(A81,Macronutrients,8,FALSE)*E81+VLOOKUP(A82,Macronutrients,8,FALSE)*E82+VLOOKUP(A83,Macronutrients,8,FALSE)*E83+VLOOKUP(A86,Micronutrients,8,FALSE)*E86+VLOOKUP(A87,Micronutrients,8,FALSE)*E87+VLOOKUP(A88,Micronutrients,8,FALSE)*E88</f>
        <v>0</v>
      </c>
      <c r="J87" s="722">
        <f>VLOOKUP(A81,Macronutrients,9,FALSE)*E81+VLOOKUP(A82,Macronutrients,9,FALSE)*E82+VLOOKUP(A83,Macronutrients,9,FALSE)*E83+VLOOKUP(A86,Micronutrients,9,FALSE)*E86+VLOOKUP(A87,Micronutrients,9,FALSE)*E87+VLOOKUP(A88,Micronutrients,9,FALSE)*E88</f>
        <v>0</v>
      </c>
      <c r="K87" s="723">
        <f>VLOOKUP(A81,Macronutrients,10,FALSE)*E81+VLOOKUP(A82,Macronutrients,10,FALSE)*E82+VLOOKUP(A83,Macronutrients,10,FALSE)*E83+VLOOKUP(A86,Micronutrients,10,FALSE)*E86+VLOOKUP(A87,Micronutrients,10,FALSE)*E87+VLOOKUP(A88,Micronutrients,10,FALSE)*E88</f>
        <v>0</v>
      </c>
      <c r="L87" s="732"/>
      <c r="M87" s="584" t="s">
        <v>13</v>
      </c>
      <c r="N87" s="585">
        <f>VLOOKUP($A87,Micronutrients,14,FALSE)</f>
        <v>0</v>
      </c>
      <c r="O87" s="586">
        <f>VLOOKUP(M87,Micronutrients,18,FALSE)</f>
        <v>0</v>
      </c>
      <c r="P87" s="585">
        <f>VLOOKUP(M87,Micronutrients,16,FALSE)</f>
        <v>1</v>
      </c>
      <c r="Q87" s="587">
        <v>0</v>
      </c>
      <c r="R87" s="588">
        <f>VLOOKUP(M87,Micronutrients,15,FALSE)</f>
        <v>0</v>
      </c>
      <c r="S87" s="736">
        <f>(Q87*VLOOKUP(M87,Micronutrients,14,FALSE)/P87)*O87</f>
        <v>0</v>
      </c>
      <c r="T87" s="2"/>
      <c r="U87" s="722">
        <f>VLOOKUP(M81,Macronutrients,8,FALSE)*Q81+VLOOKUP(M82,Macronutrients,8,FALSE)*Q82+VLOOKUP(M83,Macronutrients,8,FALSE)*Q83+VLOOKUP(M86,Micronutrients,8,FALSE)*Q86+VLOOKUP(M87,Micronutrients,8,FALSE)*Q87+VLOOKUP(M88,Micronutrients,8,FALSE)*Q88</f>
        <v>0</v>
      </c>
      <c r="V87" s="722">
        <f>VLOOKUP(M81,Macronutrients,9,FALSE)*Q81+VLOOKUP(M82,Macronutrients,9,FALSE)*Q82+VLOOKUP(M83,Macronutrients,9,FALSE)*Q83+VLOOKUP(M86,Micronutrients,9,FALSE)*Q86+VLOOKUP(M87,Micronutrients,9,FALSE)*Q87+VLOOKUP(M88,Micronutrients,9,FALSE)*Q88</f>
        <v>0</v>
      </c>
      <c r="W87" s="723">
        <f>VLOOKUP(M81,Macronutrients,10,FALSE)*Q81+VLOOKUP(M82,Macronutrients,10,FALSE)*Q82+VLOOKUP(M83,Macronutrients,10,FALSE)*Q83+VLOOKUP(M86,Micronutrients,10,FALSE)*Q86+VLOOKUP(M87,Micronutrients,10,FALSE)*Q87+VLOOKUP(M88,Micronutrients,10,FALSE)*Q88</f>
        <v>0</v>
      </c>
      <c r="X87" s="1032"/>
      <c r="Y87" s="584" t="s">
        <v>13</v>
      </c>
      <c r="Z87" s="585">
        <f>VLOOKUP($A87,Micronutrients,14,FALSE)</f>
        <v>0</v>
      </c>
      <c r="AA87" s="586">
        <f>VLOOKUP(Y87,Micronutrients,18,FALSE)</f>
        <v>0</v>
      </c>
      <c r="AB87" s="585">
        <f>VLOOKUP(Y87,Micronutrients,16,FALSE)</f>
        <v>1</v>
      </c>
      <c r="AC87" s="587">
        <v>0</v>
      </c>
      <c r="AD87" s="588">
        <f>VLOOKUP(Y87,Micronutrients,15,FALSE)</f>
        <v>0</v>
      </c>
      <c r="AE87" s="736">
        <f>(AC87*VLOOKUP(Y87,Micronutrients,14,FALSE)/AB87)*AA87</f>
        <v>0</v>
      </c>
      <c r="AF87" s="2"/>
      <c r="AG87" s="722">
        <f>VLOOKUP(Y81,Macronutrients,8,FALSE)*AC81+VLOOKUP(Y82,Macronutrients,8,FALSE)*AC82+VLOOKUP(Y83,Macronutrients,8,FALSE)*AC83+VLOOKUP(Y86,Micronutrients,8,FALSE)*AC86+VLOOKUP(Y87,Micronutrients,8,FALSE)*AC87+VLOOKUP(Y88,Micronutrients,8,FALSE)*AC88</f>
        <v>0</v>
      </c>
      <c r="AH87" s="722">
        <f>VLOOKUP(Y81,Macronutrients,9,FALSE)*AC81+VLOOKUP(Y82,Macronutrients,9,FALSE)*AC82+VLOOKUP(Y83,Macronutrients,9,FALSE)*AC83+VLOOKUP(Y86,Micronutrients,9,FALSE)*AC86+VLOOKUP(Y87,Micronutrients,9,FALSE)*AC87+VLOOKUP(Y88,Micronutrients,9,FALSE)*AC88</f>
        <v>0</v>
      </c>
      <c r="AI87" s="723">
        <f>VLOOKUP(Y81,Macronutrients,10,FALSE)*AC81+VLOOKUP(Y82,Macronutrients,10,FALSE)*AC82+VLOOKUP(Y83,Macronutrients,10,FALSE)*AC83+VLOOKUP(Y86,Micronutrients,10,FALSE)*AC86+VLOOKUP(Y87,Micronutrients,10,FALSE)*AC87+VLOOKUP(Y88,Micronutrients,10,FALSE)*AC88</f>
        <v>0</v>
      </c>
    </row>
    <row r="88" spans="1:35" s="51" customFormat="1" ht="16.350000000000001" customHeight="1">
      <c r="A88" s="584" t="s">
        <v>13</v>
      </c>
      <c r="B88" s="585">
        <f>VLOOKUP($A88,Micronutrients,14,FALSE)</f>
        <v>0</v>
      </c>
      <c r="C88" s="586">
        <f>VLOOKUP(A88,Micronutrients,18,FALSE)</f>
        <v>0</v>
      </c>
      <c r="D88" s="585">
        <f>VLOOKUP(A88,Micronutrients,16,FALSE)</f>
        <v>1</v>
      </c>
      <c r="E88" s="587">
        <v>0</v>
      </c>
      <c r="F88" s="588">
        <f>VLOOKUP(A88,Micronutrients,15,FALSE)</f>
        <v>0</v>
      </c>
      <c r="G88" s="736">
        <f>(E88*VLOOKUP(A88,Micronutrients,14,FALSE)/D88)*C88</f>
        <v>0</v>
      </c>
      <c r="H88" s="2"/>
      <c r="I88" s="2"/>
      <c r="J88" s="2"/>
      <c r="K88" s="49"/>
      <c r="L88" s="732"/>
      <c r="M88" s="584" t="s">
        <v>13</v>
      </c>
      <c r="N88" s="585">
        <f>VLOOKUP($A88,Micronutrients,14,FALSE)</f>
        <v>0</v>
      </c>
      <c r="O88" s="586">
        <f>VLOOKUP(M88,Micronutrients,18,FALSE)</f>
        <v>0</v>
      </c>
      <c r="P88" s="585">
        <f>VLOOKUP(M88,Micronutrients,16,FALSE)</f>
        <v>1</v>
      </c>
      <c r="Q88" s="587">
        <v>0</v>
      </c>
      <c r="R88" s="588">
        <f>VLOOKUP(M88,Micronutrients,15,FALSE)</f>
        <v>0</v>
      </c>
      <c r="S88" s="736">
        <f>(Q88*VLOOKUP(M88,Micronutrients,14,FALSE)/P88)*O88</f>
        <v>0</v>
      </c>
      <c r="T88" s="2"/>
      <c r="U88" s="2"/>
      <c r="V88" s="2"/>
      <c r="W88" s="49"/>
      <c r="X88" s="1032"/>
      <c r="Y88" s="584" t="s">
        <v>13</v>
      </c>
      <c r="Z88" s="585">
        <f>VLOOKUP($A88,Micronutrients,14,FALSE)</f>
        <v>0</v>
      </c>
      <c r="AA88" s="586">
        <f>VLOOKUP(Y88,Micronutrients,18,FALSE)</f>
        <v>0</v>
      </c>
      <c r="AB88" s="585">
        <f>VLOOKUP(Y88,Micronutrients,16,FALSE)</f>
        <v>1</v>
      </c>
      <c r="AC88" s="587">
        <v>0</v>
      </c>
      <c r="AD88" s="588">
        <f>VLOOKUP(Y88,Micronutrients,15,FALSE)</f>
        <v>0</v>
      </c>
      <c r="AE88" s="736">
        <f>(AC88*VLOOKUP(Y88,Micronutrients,14,FALSE)/AB88)*AA88</f>
        <v>0</v>
      </c>
      <c r="AF88" s="2"/>
      <c r="AG88" s="2"/>
      <c r="AH88" s="2"/>
      <c r="AI88" s="49"/>
    </row>
    <row r="89" spans="1:35" s="51" customFormat="1" ht="16.350000000000001" customHeight="1">
      <c r="A89" s="595"/>
      <c r="B89" s="821"/>
      <c r="C89" s="586"/>
      <c r="D89" s="821"/>
      <c r="E89" s="596"/>
      <c r="F89" s="588"/>
      <c r="G89" s="736"/>
      <c r="H89" s="2"/>
      <c r="I89" s="607" t="s">
        <v>886</v>
      </c>
      <c r="J89" s="607" t="s">
        <v>887</v>
      </c>
      <c r="K89" s="608" t="s">
        <v>888</v>
      </c>
      <c r="L89" s="732"/>
      <c r="M89" s="595"/>
      <c r="N89" s="821"/>
      <c r="O89" s="586"/>
      <c r="P89" s="821"/>
      <c r="Q89" s="596"/>
      <c r="R89" s="588"/>
      <c r="S89" s="736"/>
      <c r="T89" s="2"/>
      <c r="U89" s="607" t="s">
        <v>886</v>
      </c>
      <c r="V89" s="607" t="s">
        <v>887</v>
      </c>
      <c r="W89" s="608" t="s">
        <v>888</v>
      </c>
      <c r="X89" s="1032"/>
      <c r="Y89" s="595"/>
      <c r="Z89" s="821"/>
      <c r="AA89" s="586"/>
      <c r="AB89" s="821"/>
      <c r="AC89" s="596"/>
      <c r="AD89" s="588"/>
      <c r="AE89" s="736"/>
      <c r="AF89" s="2"/>
      <c r="AG89" s="607" t="s">
        <v>886</v>
      </c>
      <c r="AH89" s="607" t="s">
        <v>887</v>
      </c>
      <c r="AI89" s="608" t="s">
        <v>888</v>
      </c>
    </row>
    <row r="90" spans="1:35" s="51" customFormat="1" ht="16.350000000000001" customHeight="1">
      <c r="A90" s="595"/>
      <c r="B90" s="821"/>
      <c r="C90" s="586"/>
      <c r="D90" s="821"/>
      <c r="E90" s="596"/>
      <c r="F90" s="48"/>
      <c r="G90" s="736"/>
      <c r="H90" s="2"/>
      <c r="I90" s="722">
        <f>VLOOKUP(A81,Macronutrients,11,FALSE)*E81+VLOOKUP(A82,Macronutrients,11,FALSE)*E82+VLOOKUP(A83,Macronutrients,11,FALSE)*E83+VLOOKUP(A86,Micronutrients,11,FALSE)*E86+VLOOKUP(A87,Micronutrients,11,FALSE)*E87+VLOOKUP(A88,Micronutrients,11,FALSE)*E88</f>
        <v>0</v>
      </c>
      <c r="J90" s="722">
        <f>VLOOKUP(A81,Macronutrients,12,FALSE)*E81+VLOOKUP(A82,Macronutrients,12,FALSE)*E82+VLOOKUP(A83,Macronutrients,12,FALSE)*E83+VLOOKUP(A86,Micronutrients,12,FALSE)*E86+VLOOKUP(A87,Micronutrients,12,FALSE)*E87+VLOOKUP(A88,Micronutrients,12,FALSE)*E88</f>
        <v>0</v>
      </c>
      <c r="K90" s="723">
        <f>VLOOKUP(A81,Macronutrients,13,FALSE)*E81+VLOOKUP(A82,Macronutrients,13,FALSE)*E82+VLOOKUP(A83,Macronutrients,13,FALSE)*E83+VLOOKUP(A86,Micronutrients,13,FALSE)*E86+VLOOKUP(A87,Micronutrients,13,FALSE)*E87+VLOOKUP(A88,Micronutrients,13,FALSE)*E88</f>
        <v>0</v>
      </c>
      <c r="L90" s="732"/>
      <c r="M90" s="595"/>
      <c r="N90" s="821"/>
      <c r="O90" s="586"/>
      <c r="P90" s="821"/>
      <c r="Q90" s="596"/>
      <c r="R90" s="48"/>
      <c r="S90" s="736"/>
      <c r="T90" s="2"/>
      <c r="U90" s="722">
        <f>VLOOKUP(M81,Macronutrients,11,FALSE)*Q81+VLOOKUP(M82,Macronutrients,11,FALSE)*Q82+VLOOKUP(M83,Macronutrients,11,FALSE)*Q83+VLOOKUP(M86,Micronutrients,11,FALSE)*Q86+VLOOKUP(M87,Micronutrients,11,FALSE)*Q87+VLOOKUP(M88,Micronutrients,11,FALSE)*Q88</f>
        <v>0</v>
      </c>
      <c r="V90" s="722">
        <f>VLOOKUP(M81,Macronutrients,12,FALSE)*Q81+VLOOKUP(M82,Macronutrients,12,FALSE)*Q82+VLOOKUP(M83,Macronutrients,12,FALSE)*Q83+VLOOKUP(M86,Micronutrients,12,FALSE)*Q86+VLOOKUP(M87,Micronutrients,12,FALSE)*Q87+VLOOKUP(M88,Micronutrients,12,FALSE)*Q88</f>
        <v>0</v>
      </c>
      <c r="W90" s="723">
        <f>VLOOKUP(M81,Macronutrients,13,FALSE)*Q81+VLOOKUP(M82,Macronutrients,13,FALSE)*Q82+VLOOKUP(M83,Macronutrients,13,FALSE)*Q83+VLOOKUP(M86,Micronutrients,13,FALSE)*Q86+VLOOKUP(M87,Micronutrients,13,FALSE)*Q87+VLOOKUP(M88,Micronutrients,13,FALSE)*Q88</f>
        <v>0</v>
      </c>
      <c r="X90" s="1032"/>
      <c r="Y90" s="595"/>
      <c r="Z90" s="821"/>
      <c r="AA90" s="586"/>
      <c r="AB90" s="821"/>
      <c r="AC90" s="596"/>
      <c r="AD90" s="48"/>
      <c r="AE90" s="736"/>
      <c r="AF90" s="2"/>
      <c r="AG90" s="722">
        <f>VLOOKUP(Y81,Macronutrients,11,FALSE)*AC81+VLOOKUP(Y82,Macronutrients,11,FALSE)*AC82+VLOOKUP(Y83,Macronutrients,11,FALSE)*AC83+VLOOKUP(Y86,Micronutrients,11,FALSE)*AC86+VLOOKUP(Y87,Micronutrients,11,FALSE)*AC87+VLOOKUP(Y88,Micronutrients,11,FALSE)*AC88</f>
        <v>0</v>
      </c>
      <c r="AH90" s="722">
        <f>VLOOKUP(Y81,Macronutrients,12,FALSE)*AC81+VLOOKUP(Y82,Macronutrients,12,FALSE)*AC82+VLOOKUP(Y83,Macronutrients,12,FALSE)*AC83+VLOOKUP(Y86,Micronutrients,12,FALSE)*AC86+VLOOKUP(Y87,Micronutrients,12,FALSE)*AC87+VLOOKUP(Y88,Micronutrients,12,FALSE)*AC88</f>
        <v>0</v>
      </c>
      <c r="AI90" s="723">
        <f>VLOOKUP(Y81,Macronutrients,13,FALSE)*AC81+VLOOKUP(Y82,Macronutrients,13,FALSE)*AC82+VLOOKUP(Y83,Macronutrients,13,FALSE)*AC83+VLOOKUP(Y86,Micronutrients,13,FALSE)*AC86+VLOOKUP(Y87,Micronutrients,13,FALSE)*AC87+VLOOKUP(Y88,Micronutrients,13,FALSE)*AC88</f>
        <v>0</v>
      </c>
    </row>
    <row r="91" spans="1:35" s="51" customFormat="1" ht="16.350000000000001" customHeight="1">
      <c r="A91" s="105" t="s">
        <v>425</v>
      </c>
      <c r="B91" s="822"/>
      <c r="C91" s="823"/>
      <c r="D91" s="822"/>
      <c r="E91" s="824"/>
      <c r="F91" s="106"/>
      <c r="G91" s="826"/>
      <c r="H91" s="2"/>
      <c r="I91" s="825"/>
      <c r="J91" s="825"/>
      <c r="K91" s="724"/>
      <c r="L91" s="732"/>
      <c r="M91" s="105" t="s">
        <v>425</v>
      </c>
      <c r="N91" s="822"/>
      <c r="O91" s="823"/>
      <c r="P91" s="822"/>
      <c r="Q91" s="824"/>
      <c r="R91" s="106"/>
      <c r="S91" s="826"/>
      <c r="T91" s="2"/>
      <c r="U91" s="825"/>
      <c r="V91" s="825"/>
      <c r="W91" s="724"/>
      <c r="X91" s="1032"/>
      <c r="Y91" s="105" t="s">
        <v>425</v>
      </c>
      <c r="Z91" s="822"/>
      <c r="AA91" s="823"/>
      <c r="AB91" s="822"/>
      <c r="AC91" s="824"/>
      <c r="AD91" s="106"/>
      <c r="AE91" s="826"/>
      <c r="AF91" s="2"/>
      <c r="AG91" s="825"/>
      <c r="AH91" s="825"/>
      <c r="AI91" s="724"/>
    </row>
    <row r="92" spans="1:35" s="51" customFormat="1" ht="16.350000000000001" customHeight="1">
      <c r="A92" s="358" t="s">
        <v>13</v>
      </c>
      <c r="B92" s="585">
        <f>VLOOKUP(A92,NitrogenStabilizers,14,FALSE)</f>
        <v>0</v>
      </c>
      <c r="C92" s="586">
        <f>VLOOKUP(A92,NitrogenStabilizers,15,FALSE)</f>
        <v>0</v>
      </c>
      <c r="D92" s="585">
        <f>VLOOKUP(A92,NitrogenStabilizers,16,FALSE)</f>
        <v>1</v>
      </c>
      <c r="E92" s="587">
        <v>0</v>
      </c>
      <c r="F92" s="588">
        <f>VLOOKUP(A92,NitrogenStabilizers,15,FALSE)</f>
        <v>0</v>
      </c>
      <c r="G92" s="736">
        <f>(E92*VLOOKUP(A92,NitrogenStabilizers,14,FALSE)/D92)*C92</f>
        <v>0</v>
      </c>
      <c r="H92" s="2"/>
      <c r="I92" s="2"/>
      <c r="J92" s="2"/>
      <c r="K92" s="598" t="s">
        <v>255</v>
      </c>
      <c r="L92" s="732"/>
      <c r="M92" s="358" t="s">
        <v>13</v>
      </c>
      <c r="N92" s="585">
        <f>VLOOKUP(M92,NitrogenStabilizers,14,FALSE)</f>
        <v>0</v>
      </c>
      <c r="O92" s="586">
        <f>VLOOKUP(M92,NitrogenStabilizers,15,FALSE)</f>
        <v>0</v>
      </c>
      <c r="P92" s="585">
        <f>VLOOKUP(M92,NitrogenStabilizers,16,FALSE)</f>
        <v>1</v>
      </c>
      <c r="Q92" s="587">
        <v>0</v>
      </c>
      <c r="R92" s="588">
        <f>VLOOKUP(M92,NitrogenStabilizers,15,FALSE)</f>
        <v>0</v>
      </c>
      <c r="S92" s="736">
        <f>(Q92*VLOOKUP(M92,NitrogenStabilizers,14,FALSE)/P92)*O92</f>
        <v>0</v>
      </c>
      <c r="T92" s="2"/>
      <c r="U92" s="2"/>
      <c r="V92" s="2"/>
      <c r="W92" s="598" t="s">
        <v>255</v>
      </c>
      <c r="X92" s="1032"/>
      <c r="Y92" s="358" t="s">
        <v>13</v>
      </c>
      <c r="Z92" s="585">
        <f>VLOOKUP(Y92,NitrogenStabilizers,14,FALSE)</f>
        <v>0</v>
      </c>
      <c r="AA92" s="586">
        <f>VLOOKUP(Y92,NitrogenStabilizers,15,FALSE)</f>
        <v>0</v>
      </c>
      <c r="AB92" s="585">
        <f>VLOOKUP(Y92,NitrogenStabilizers,16,FALSE)</f>
        <v>1</v>
      </c>
      <c r="AC92" s="587">
        <v>0</v>
      </c>
      <c r="AD92" s="588">
        <f>VLOOKUP(Y92,NitrogenStabilizers,15,FALSE)</f>
        <v>0</v>
      </c>
      <c r="AE92" s="736">
        <f>(AC92*VLOOKUP(Y92,NitrogenStabilizers,14,FALSE)/AB92)*AA92</f>
        <v>0</v>
      </c>
      <c r="AF92" s="2"/>
      <c r="AG92" s="2"/>
      <c r="AH92" s="2"/>
      <c r="AI92" s="598" t="s">
        <v>255</v>
      </c>
    </row>
    <row r="93" spans="1:35" s="51" customFormat="1" ht="16.350000000000001" customHeight="1" thickBot="1">
      <c r="A93" s="599" t="s">
        <v>127</v>
      </c>
      <c r="B93" s="600"/>
      <c r="C93" s="600"/>
      <c r="D93" s="600"/>
      <c r="E93" s="601"/>
      <c r="F93" s="600"/>
      <c r="G93" s="602">
        <f>SUM(G81:G92)</f>
        <v>0</v>
      </c>
      <c r="H93" s="2"/>
      <c r="I93" s="2"/>
      <c r="J93" s="2"/>
      <c r="K93" s="598" t="s">
        <v>256</v>
      </c>
      <c r="L93" s="732"/>
      <c r="M93" s="599" t="s">
        <v>127</v>
      </c>
      <c r="N93" s="600"/>
      <c r="O93" s="600"/>
      <c r="P93" s="600"/>
      <c r="Q93" s="601"/>
      <c r="R93" s="600"/>
      <c r="S93" s="602">
        <f>SUM(S81:S92)</f>
        <v>0</v>
      </c>
      <c r="T93" s="2"/>
      <c r="U93" s="2"/>
      <c r="V93" s="2"/>
      <c r="W93" s="598" t="s">
        <v>256</v>
      </c>
      <c r="X93" s="1032"/>
      <c r="Y93" s="599" t="s">
        <v>127</v>
      </c>
      <c r="Z93" s="600"/>
      <c r="AA93" s="600"/>
      <c r="AB93" s="600"/>
      <c r="AC93" s="601"/>
      <c r="AD93" s="600"/>
      <c r="AE93" s="602">
        <f>SUM(AE81:AE92)</f>
        <v>0</v>
      </c>
      <c r="AF93" s="2"/>
      <c r="AG93" s="2"/>
      <c r="AH93" s="2"/>
      <c r="AI93" s="598" t="s">
        <v>256</v>
      </c>
    </row>
    <row r="94" spans="1:35" s="51" customFormat="1" ht="16.350000000000001" customHeight="1" thickTop="1">
      <c r="A94" s="545"/>
      <c r="B94" s="118"/>
      <c r="C94" s="118"/>
      <c r="D94" s="118"/>
      <c r="E94" s="118"/>
      <c r="F94" s="118"/>
      <c r="G94" s="116"/>
      <c r="H94" s="2"/>
      <c r="I94" s="2"/>
      <c r="J94" s="2"/>
      <c r="K94" s="603" t="s">
        <v>254</v>
      </c>
      <c r="L94" s="732"/>
      <c r="M94" s="545"/>
      <c r="N94" s="118"/>
      <c r="O94" s="118"/>
      <c r="P94" s="118"/>
      <c r="Q94" s="118"/>
      <c r="R94" s="118"/>
      <c r="S94" s="116"/>
      <c r="T94" s="2"/>
      <c r="U94" s="2"/>
      <c r="V94" s="2"/>
      <c r="W94" s="603" t="s">
        <v>254</v>
      </c>
      <c r="X94" s="1032"/>
      <c r="Y94" s="545"/>
      <c r="Z94" s="118"/>
      <c r="AA94" s="118"/>
      <c r="AB94" s="118"/>
      <c r="AC94" s="118"/>
      <c r="AD94" s="118"/>
      <c r="AE94" s="116"/>
      <c r="AF94" s="2"/>
      <c r="AG94" s="2"/>
      <c r="AH94" s="2"/>
      <c r="AI94" s="603" t="s">
        <v>254</v>
      </c>
    </row>
    <row r="95" spans="1:35" s="51" customFormat="1" ht="16.350000000000001" customHeight="1" thickBot="1">
      <c r="A95" s="24"/>
      <c r="B95" s="97"/>
      <c r="C95" s="97"/>
      <c r="D95" s="97"/>
      <c r="E95" s="97"/>
      <c r="F95" s="97"/>
      <c r="G95" s="97"/>
      <c r="H95" s="97"/>
      <c r="I95" s="97"/>
      <c r="J95" s="97"/>
      <c r="K95" s="604"/>
      <c r="L95" s="732"/>
      <c r="M95" s="24"/>
      <c r="N95" s="97"/>
      <c r="O95" s="97"/>
      <c r="P95" s="97"/>
      <c r="Q95" s="97"/>
      <c r="R95" s="97"/>
      <c r="S95" s="97"/>
      <c r="T95" s="97"/>
      <c r="U95" s="97"/>
      <c r="V95" s="97"/>
      <c r="W95" s="604"/>
      <c r="X95" s="1032"/>
      <c r="Y95" s="24"/>
      <c r="Z95" s="97"/>
      <c r="AA95" s="97"/>
      <c r="AB95" s="97"/>
      <c r="AC95" s="97"/>
      <c r="AD95" s="97"/>
      <c r="AE95" s="97"/>
      <c r="AF95" s="97"/>
      <c r="AG95" s="97"/>
      <c r="AH95" s="97"/>
      <c r="AI95" s="604"/>
    </row>
    <row r="96" spans="1:35" s="51" customFormat="1" ht="16.350000000000001" customHeight="1" thickBot="1">
      <c r="A96" s="1026" t="s">
        <v>942</v>
      </c>
      <c r="B96" s="1027"/>
      <c r="C96" s="1027"/>
      <c r="D96" s="1027"/>
      <c r="E96" s="1027"/>
      <c r="F96" s="1027"/>
      <c r="G96" s="1027"/>
      <c r="H96" s="1027"/>
      <c r="I96" s="1027"/>
      <c r="J96" s="1027"/>
      <c r="K96" s="1028"/>
      <c r="L96" s="732"/>
      <c r="M96" s="1026" t="s">
        <v>942</v>
      </c>
      <c r="N96" s="1027"/>
      <c r="O96" s="1027"/>
      <c r="P96" s="1027"/>
      <c r="Q96" s="1027"/>
      <c r="R96" s="1027"/>
      <c r="S96" s="1027"/>
      <c r="T96" s="1027"/>
      <c r="U96" s="1027"/>
      <c r="V96" s="1027"/>
      <c r="W96" s="1028"/>
      <c r="X96" s="1032"/>
      <c r="Y96" s="1026" t="s">
        <v>942</v>
      </c>
      <c r="Z96" s="1027"/>
      <c r="AA96" s="1027"/>
      <c r="AB96" s="1027"/>
      <c r="AC96" s="1027"/>
      <c r="AD96" s="1027"/>
      <c r="AE96" s="1027"/>
      <c r="AF96" s="1027"/>
      <c r="AG96" s="1027"/>
      <c r="AH96" s="1027"/>
      <c r="AI96" s="1028"/>
    </row>
    <row r="97" spans="1:35" s="51" customFormat="1" ht="16.350000000000001" customHeight="1">
      <c r="A97" s="810" t="s">
        <v>126</v>
      </c>
      <c r="B97" s="811" t="s">
        <v>106</v>
      </c>
      <c r="C97" s="812" t="s">
        <v>107</v>
      </c>
      <c r="D97" s="813" t="s">
        <v>12</v>
      </c>
      <c r="E97" s="813" t="s">
        <v>108</v>
      </c>
      <c r="F97" s="811" t="s">
        <v>11</v>
      </c>
      <c r="G97" s="813" t="s">
        <v>109</v>
      </c>
      <c r="H97" s="814"/>
      <c r="I97" s="814"/>
      <c r="J97" s="814"/>
      <c r="K97" s="815"/>
      <c r="L97" s="732"/>
      <c r="M97" s="810" t="s">
        <v>126</v>
      </c>
      <c r="N97" s="811" t="s">
        <v>106</v>
      </c>
      <c r="O97" s="812" t="s">
        <v>107</v>
      </c>
      <c r="P97" s="813" t="s">
        <v>12</v>
      </c>
      <c r="Q97" s="813" t="s">
        <v>108</v>
      </c>
      <c r="R97" s="811" t="s">
        <v>11</v>
      </c>
      <c r="S97" s="813" t="s">
        <v>109</v>
      </c>
      <c r="T97" s="814"/>
      <c r="U97" s="814"/>
      <c r="V97" s="814"/>
      <c r="W97" s="815"/>
      <c r="X97" s="1032"/>
      <c r="Y97" s="810" t="s">
        <v>126</v>
      </c>
      <c r="Z97" s="811" t="s">
        <v>106</v>
      </c>
      <c r="AA97" s="812" t="s">
        <v>107</v>
      </c>
      <c r="AB97" s="813" t="s">
        <v>12</v>
      </c>
      <c r="AC97" s="813" t="s">
        <v>108</v>
      </c>
      <c r="AD97" s="811" t="s">
        <v>11</v>
      </c>
      <c r="AE97" s="813" t="s">
        <v>109</v>
      </c>
      <c r="AF97" s="814"/>
      <c r="AG97" s="814"/>
      <c r="AH97" s="814"/>
      <c r="AI97" s="815"/>
    </row>
    <row r="98" spans="1:35" s="51" customFormat="1" ht="16.350000000000001" customHeight="1">
      <c r="A98" s="105" t="s">
        <v>500</v>
      </c>
      <c r="B98" s="48"/>
      <c r="C98" s="820"/>
      <c r="D98" s="36"/>
      <c r="E98" s="45" t="s">
        <v>128</v>
      </c>
      <c r="F98" s="41"/>
      <c r="G98" s="38"/>
      <c r="H98" s="2"/>
      <c r="I98" s="607" t="s">
        <v>96</v>
      </c>
      <c r="J98" s="607" t="s">
        <v>97</v>
      </c>
      <c r="K98" s="608" t="s">
        <v>98</v>
      </c>
      <c r="L98" s="732"/>
      <c r="M98" s="105" t="s">
        <v>500</v>
      </c>
      <c r="N98" s="48"/>
      <c r="O98" s="820"/>
      <c r="P98" s="36"/>
      <c r="Q98" s="45" t="s">
        <v>128</v>
      </c>
      <c r="R98" s="41"/>
      <c r="S98" s="38"/>
      <c r="T98" s="2"/>
      <c r="U98" s="607" t="s">
        <v>96</v>
      </c>
      <c r="V98" s="607" t="s">
        <v>97</v>
      </c>
      <c r="W98" s="608" t="s">
        <v>98</v>
      </c>
      <c r="X98" s="1032"/>
      <c r="Y98" s="105" t="s">
        <v>500</v>
      </c>
      <c r="Z98" s="48"/>
      <c r="AA98" s="820"/>
      <c r="AB98" s="36"/>
      <c r="AC98" s="45" t="s">
        <v>128</v>
      </c>
      <c r="AD98" s="41"/>
      <c r="AE98" s="38"/>
      <c r="AF98" s="2"/>
      <c r="AG98" s="607" t="s">
        <v>96</v>
      </c>
      <c r="AH98" s="607" t="s">
        <v>97</v>
      </c>
      <c r="AI98" s="608" t="s">
        <v>98</v>
      </c>
    </row>
    <row r="99" spans="1:35" s="51" customFormat="1" ht="16.350000000000001" customHeight="1">
      <c r="A99" s="584" t="s">
        <v>13</v>
      </c>
      <c r="B99" s="585">
        <f t="shared" ref="B99:B101" si="75">VLOOKUP(A99,Macronutrients,14,FALSE)</f>
        <v>0</v>
      </c>
      <c r="C99" s="586">
        <f t="shared" ref="C99:C101" si="76">VLOOKUP(A99,Macronutrients,18,FALSE)</f>
        <v>0</v>
      </c>
      <c r="D99" s="585">
        <f t="shared" ref="D99:D101" si="77">VLOOKUP(A99,Macronutrients,16,FALSE)</f>
        <v>1</v>
      </c>
      <c r="E99" s="587">
        <v>0</v>
      </c>
      <c r="F99" s="588">
        <f t="shared" ref="F99:F101" si="78">VLOOKUP(A99,Macronutrients,15,FALSE)</f>
        <v>0</v>
      </c>
      <c r="G99" s="736">
        <f t="shared" ref="G99:G101" si="79">(E99*VLOOKUP(A99,Macronutrients,14,FALSE)/D99)*C99</f>
        <v>0</v>
      </c>
      <c r="H99" s="2"/>
      <c r="I99" s="725">
        <f>VLOOKUP(A99,Macronutrients,2,FALSE)*E99+VLOOKUP(A100,Macronutrients,2,FALSE)*E100+VLOOKUP(A101,Macronutrients,2,FALSE)*E101+VLOOKUP(A104,Micronutrients,2,FALSE)*E104+VLOOKUP(A105,Micronutrients,2,FALSE)*E105+VLOOKUP(A106,Micronutrients,2,FALSE)*E106</f>
        <v>0</v>
      </c>
      <c r="J99" s="589">
        <f>VLOOKUP(A99,Macronutrients,3,FALSE)*E99+VLOOKUP(A100,Macronutrients,3,FALSE)*E100+VLOOKUP(A101,Macronutrients,3,FALSE)*E101+VLOOKUP(A104,Micronutrients,3,FALSE)*E104+VLOOKUP(A105,Micronutrients,3,FALSE)*E105+VLOOKUP(A106,Micronutrients,3,FALSE)*E106</f>
        <v>0</v>
      </c>
      <c r="K99" s="590">
        <f>VLOOKUP(A99,Macronutrients,4,FALSE)*E99+VLOOKUP(A100,Macronutrients,4,FALSE)*E100+VLOOKUP(A101,Macronutrients,4,FALSE)*E101+VLOOKUP(A104,Micronutrients,4,FALSE)*E104+VLOOKUP(A105,Micronutrients,4,FALSE)*E105+VLOOKUP(A106,Micronutrients,4,FALSE)*E106</f>
        <v>0</v>
      </c>
      <c r="L99" s="732"/>
      <c r="M99" s="584" t="s">
        <v>13</v>
      </c>
      <c r="N99" s="585">
        <f t="shared" ref="N99:N101" si="80">VLOOKUP(M99,Macronutrients,14,FALSE)</f>
        <v>0</v>
      </c>
      <c r="O99" s="586">
        <f t="shared" ref="O99:O101" si="81">VLOOKUP(M99,Macronutrients,18,FALSE)</f>
        <v>0</v>
      </c>
      <c r="P99" s="585">
        <f t="shared" ref="P99:P101" si="82">VLOOKUP(M99,Macronutrients,16,FALSE)</f>
        <v>1</v>
      </c>
      <c r="Q99" s="587">
        <v>0</v>
      </c>
      <c r="R99" s="588">
        <f t="shared" ref="R99:R101" si="83">VLOOKUP(M99,Macronutrients,15,FALSE)</f>
        <v>0</v>
      </c>
      <c r="S99" s="736">
        <f t="shared" ref="S99:S101" si="84">(Q99*VLOOKUP(M99,Macronutrients,14,FALSE)/P99)*O99</f>
        <v>0</v>
      </c>
      <c r="T99" s="2"/>
      <c r="U99" s="725">
        <f>VLOOKUP(M99,Macronutrients,2,FALSE)*Q99+VLOOKUP(M100,Macronutrients,2,FALSE)*Q100+VLOOKUP(M101,Macronutrients,2,FALSE)*Q101+VLOOKUP(M104,Micronutrients,2,FALSE)*Q104+VLOOKUP(M105,Micronutrients,2,FALSE)*Q105+VLOOKUP(M106,Micronutrients,2,FALSE)*Q106</f>
        <v>0</v>
      </c>
      <c r="V99" s="589">
        <f>VLOOKUP(M99,Macronutrients,3,FALSE)*Q99+VLOOKUP(M100,Macronutrients,3,FALSE)*Q100+VLOOKUP(M101,Macronutrients,3,FALSE)*Q101+VLOOKUP(M104,Micronutrients,3,FALSE)*Q104+VLOOKUP(M105,Micronutrients,3,FALSE)*Q105+VLOOKUP(M106,Micronutrients,3,FALSE)*Q106</f>
        <v>0</v>
      </c>
      <c r="W99" s="590">
        <f>VLOOKUP(M99,Macronutrients,4,FALSE)*Q99+VLOOKUP(M100,Macronutrients,4,FALSE)*Q100+VLOOKUP(M101,Macronutrients,4,FALSE)*Q101+VLOOKUP(M104,Micronutrients,4,FALSE)*Q104+VLOOKUP(M105,Micronutrients,4,FALSE)*Q105+VLOOKUP(M106,Micronutrients,4,FALSE)*Q106</f>
        <v>0</v>
      </c>
      <c r="X99" s="1032"/>
      <c r="Y99" s="584" t="s">
        <v>13</v>
      </c>
      <c r="Z99" s="585">
        <f t="shared" ref="Z99:Z101" si="85">VLOOKUP(Y99,Macronutrients,14,FALSE)</f>
        <v>0</v>
      </c>
      <c r="AA99" s="586">
        <f t="shared" ref="AA99:AA101" si="86">VLOOKUP(Y99,Macronutrients,18,FALSE)</f>
        <v>0</v>
      </c>
      <c r="AB99" s="585">
        <f t="shared" ref="AB99:AB101" si="87">VLOOKUP(Y99,Macronutrients,16,FALSE)</f>
        <v>1</v>
      </c>
      <c r="AC99" s="587">
        <v>0</v>
      </c>
      <c r="AD99" s="588">
        <f t="shared" ref="AD99:AD101" si="88">VLOOKUP(Y99,Macronutrients,15,FALSE)</f>
        <v>0</v>
      </c>
      <c r="AE99" s="736">
        <f t="shared" ref="AE99:AE101" si="89">(AC99*VLOOKUP(Y99,Macronutrients,14,FALSE)/AB99)*AA99</f>
        <v>0</v>
      </c>
      <c r="AF99" s="2"/>
      <c r="AG99" s="725">
        <f>VLOOKUP(Y99,Macronutrients,2,FALSE)*AC99+VLOOKUP(Y100,Macronutrients,2,FALSE)*AC100+VLOOKUP(Y101,Macronutrients,2,FALSE)*AC101+VLOOKUP(Y104,Micronutrients,2,FALSE)*AC104+VLOOKUP(Y105,Micronutrients,2,FALSE)*AC105+VLOOKUP(Y106,Micronutrients,2,FALSE)*AC106</f>
        <v>0</v>
      </c>
      <c r="AH99" s="589">
        <f>VLOOKUP(Y99,Macronutrients,3,FALSE)*AC99+VLOOKUP(Y100,Macronutrients,3,FALSE)*AC100+VLOOKUP(Y101,Macronutrients,3,FALSE)*AC101+VLOOKUP(Y104,Micronutrients,3,FALSE)*AC104+VLOOKUP(Y105,Micronutrients,3,FALSE)*AC105+VLOOKUP(Y106,Micronutrients,3,FALSE)*AC106</f>
        <v>0</v>
      </c>
      <c r="AI99" s="590">
        <f>VLOOKUP(Y99,Macronutrients,4,FALSE)*AC99+VLOOKUP(Y100,Macronutrients,4,FALSE)*AC100+VLOOKUP(Y101,Macronutrients,4,FALSE)*AC101+VLOOKUP(Y104,Micronutrients,4,FALSE)*AC104+VLOOKUP(Y105,Micronutrients,4,FALSE)*AC105+VLOOKUP(Y106,Micronutrients,4,FALSE)*AC106</f>
        <v>0</v>
      </c>
    </row>
    <row r="100" spans="1:35" s="51" customFormat="1" ht="16.350000000000001" customHeight="1">
      <c r="A100" s="584" t="s">
        <v>13</v>
      </c>
      <c r="B100" s="585">
        <f t="shared" si="75"/>
        <v>0</v>
      </c>
      <c r="C100" s="586">
        <f t="shared" si="76"/>
        <v>0</v>
      </c>
      <c r="D100" s="585">
        <f t="shared" si="77"/>
        <v>1</v>
      </c>
      <c r="E100" s="587">
        <v>0</v>
      </c>
      <c r="F100" s="588">
        <f t="shared" si="78"/>
        <v>0</v>
      </c>
      <c r="G100" s="736">
        <f t="shared" si="79"/>
        <v>0</v>
      </c>
      <c r="H100" s="2"/>
      <c r="I100" s="592"/>
      <c r="J100" s="592"/>
      <c r="K100" s="593"/>
      <c r="L100" s="732"/>
      <c r="M100" s="584" t="s">
        <v>13</v>
      </c>
      <c r="N100" s="585">
        <f t="shared" si="80"/>
        <v>0</v>
      </c>
      <c r="O100" s="586">
        <f t="shared" si="81"/>
        <v>0</v>
      </c>
      <c r="P100" s="585">
        <f t="shared" si="82"/>
        <v>1</v>
      </c>
      <c r="Q100" s="587">
        <v>0</v>
      </c>
      <c r="R100" s="588">
        <f t="shared" si="83"/>
        <v>0</v>
      </c>
      <c r="S100" s="736">
        <f t="shared" si="84"/>
        <v>0</v>
      </c>
      <c r="T100" s="2"/>
      <c r="U100" s="592"/>
      <c r="V100" s="592"/>
      <c r="W100" s="593"/>
      <c r="X100" s="1032"/>
      <c r="Y100" s="584" t="s">
        <v>13</v>
      </c>
      <c r="Z100" s="585">
        <f t="shared" si="85"/>
        <v>0</v>
      </c>
      <c r="AA100" s="586">
        <f t="shared" si="86"/>
        <v>0</v>
      </c>
      <c r="AB100" s="585">
        <f t="shared" si="87"/>
        <v>1</v>
      </c>
      <c r="AC100" s="587">
        <v>0</v>
      </c>
      <c r="AD100" s="588">
        <f t="shared" si="88"/>
        <v>0</v>
      </c>
      <c r="AE100" s="736">
        <f t="shared" si="89"/>
        <v>0</v>
      </c>
      <c r="AF100" s="2"/>
      <c r="AG100" s="592"/>
      <c r="AH100" s="592"/>
      <c r="AI100" s="593"/>
    </row>
    <row r="101" spans="1:35" s="51" customFormat="1" ht="16.350000000000001" customHeight="1">
      <c r="A101" s="584" t="s">
        <v>13</v>
      </c>
      <c r="B101" s="585">
        <f t="shared" si="75"/>
        <v>0</v>
      </c>
      <c r="C101" s="586">
        <f t="shared" si="76"/>
        <v>0</v>
      </c>
      <c r="D101" s="585">
        <f t="shared" si="77"/>
        <v>1</v>
      </c>
      <c r="E101" s="587">
        <v>0</v>
      </c>
      <c r="F101" s="588">
        <f t="shared" si="78"/>
        <v>0</v>
      </c>
      <c r="G101" s="736">
        <f t="shared" si="79"/>
        <v>0</v>
      </c>
      <c r="I101" s="607" t="s">
        <v>99</v>
      </c>
      <c r="J101" s="607" t="s">
        <v>100</v>
      </c>
      <c r="K101" s="608" t="s">
        <v>101</v>
      </c>
      <c r="L101" s="732"/>
      <c r="M101" s="584" t="s">
        <v>13</v>
      </c>
      <c r="N101" s="585">
        <f t="shared" si="80"/>
        <v>0</v>
      </c>
      <c r="O101" s="586">
        <f t="shared" si="81"/>
        <v>0</v>
      </c>
      <c r="P101" s="585">
        <f t="shared" si="82"/>
        <v>1</v>
      </c>
      <c r="Q101" s="587">
        <v>0</v>
      </c>
      <c r="R101" s="588">
        <f t="shared" si="83"/>
        <v>0</v>
      </c>
      <c r="S101" s="736">
        <f t="shared" si="84"/>
        <v>0</v>
      </c>
      <c r="U101" s="607" t="s">
        <v>99</v>
      </c>
      <c r="V101" s="607" t="s">
        <v>100</v>
      </c>
      <c r="W101" s="608" t="s">
        <v>101</v>
      </c>
      <c r="X101" s="1032"/>
      <c r="Y101" s="584" t="s">
        <v>13</v>
      </c>
      <c r="Z101" s="585">
        <f t="shared" si="85"/>
        <v>0</v>
      </c>
      <c r="AA101" s="586">
        <f t="shared" si="86"/>
        <v>0</v>
      </c>
      <c r="AB101" s="585">
        <f t="shared" si="87"/>
        <v>1</v>
      </c>
      <c r="AC101" s="587">
        <v>0</v>
      </c>
      <c r="AD101" s="588">
        <f t="shared" si="88"/>
        <v>0</v>
      </c>
      <c r="AE101" s="736">
        <f t="shared" si="89"/>
        <v>0</v>
      </c>
      <c r="AG101" s="607" t="s">
        <v>99</v>
      </c>
      <c r="AH101" s="607" t="s">
        <v>100</v>
      </c>
      <c r="AI101" s="608" t="s">
        <v>101</v>
      </c>
    </row>
    <row r="102" spans="1:35" s="51" customFormat="1" ht="16.350000000000001" customHeight="1">
      <c r="A102" s="595"/>
      <c r="B102" s="38"/>
      <c r="C102" s="586"/>
      <c r="D102" s="588"/>
      <c r="E102" s="111"/>
      <c r="F102" s="588"/>
      <c r="G102" s="736"/>
      <c r="H102" s="2"/>
      <c r="I102" s="589">
        <f>VLOOKUP(A99,Macronutrients,5,FALSE)*E99+VLOOKUP(A100,Macronutrients,5,FALSE)*E100+VLOOKUP(A101,Macronutrients,5,FALSE)*E101+VLOOKUP(A104,Micronutrients,5,FALSE)*E104+VLOOKUP(A105,Micronutrients,5,FALSE)*E105+VLOOKUP(A106,Micronutrients,5,FALSE)*E106</f>
        <v>0</v>
      </c>
      <c r="J102" s="589">
        <f>VLOOKUP(A99,Macronutrients,7,FALSE)*E99+VLOOKUP(A100,Macronutrients,7,FALSE)*E100+VLOOKUP(A101,Macronutrients,7,FALSE)*E101+VLOOKUP(A104,Micronutrients,7,FALSE)*E104+VLOOKUP(A105,Micronutrients,7,FALSE)*E105+VLOOKUP(A106,Micronutrients,7,FALSE)*E106</f>
        <v>0</v>
      </c>
      <c r="K102" s="590">
        <f>VLOOKUP($A99,Macronutrients,6,FALSE)*$E$6+VLOOKUP($A100,Macronutrients,6,FALSE)*$E$7+VLOOKUP($A101,Macronutrients,6,FALSE)*$E$8+VLOOKUP($A104,Micronutrients,6,FALSE)*$E$11+VLOOKUP($A105,Micronutrients,6,FALSE)*E105+VLOOKUP($A106,Micronutrients,6,FALSE)*$E$13</f>
        <v>0</v>
      </c>
      <c r="L102" s="732"/>
      <c r="M102" s="595"/>
      <c r="N102" s="38"/>
      <c r="O102" s="586"/>
      <c r="P102" s="588"/>
      <c r="Q102" s="111"/>
      <c r="R102" s="588"/>
      <c r="S102" s="736"/>
      <c r="T102" s="2"/>
      <c r="U102" s="589">
        <f>VLOOKUP(M99,Macronutrients,5,FALSE)*Q99+VLOOKUP(M100,Macronutrients,5,FALSE)*Q100+VLOOKUP(M101,Macronutrients,5,FALSE)*Q101+VLOOKUP(M104,Micronutrients,5,FALSE)*Q104+VLOOKUP(M105,Micronutrients,5,FALSE)*Q105+VLOOKUP(M106,Micronutrients,5,FALSE)*Q106</f>
        <v>0</v>
      </c>
      <c r="V102" s="589">
        <f>VLOOKUP(M99,Macronutrients,7,FALSE)*Q99+VLOOKUP(M100,Macronutrients,7,FALSE)*Q100+VLOOKUP(M101,Macronutrients,7,FALSE)*Q101+VLOOKUP(M104,Micronutrients,7,FALSE)*Q104+VLOOKUP(M105,Micronutrients,7,FALSE)*Q105+VLOOKUP(M106,Micronutrients,7,FALSE)*Q106</f>
        <v>0</v>
      </c>
      <c r="W102" s="590">
        <f>VLOOKUP($A99,Macronutrients,6,FALSE)*$E$6+VLOOKUP($A100,Macronutrients,6,FALSE)*$E$7+VLOOKUP($A101,Macronutrients,6,FALSE)*$E$8+VLOOKUP($A104,Micronutrients,6,FALSE)*$E$11+VLOOKUP($A105,Micronutrients,6,FALSE)*Q105+VLOOKUP($A106,Micronutrients,6,FALSE)*$E$13</f>
        <v>0</v>
      </c>
      <c r="X102" s="1032"/>
      <c r="Y102" s="595"/>
      <c r="Z102" s="38"/>
      <c r="AA102" s="586"/>
      <c r="AB102" s="588"/>
      <c r="AC102" s="111"/>
      <c r="AD102" s="588"/>
      <c r="AE102" s="736"/>
      <c r="AF102" s="2"/>
      <c r="AG102" s="589">
        <f>VLOOKUP(Y99,Macronutrients,5,FALSE)*AC99+VLOOKUP(Y100,Macronutrients,5,FALSE)*AC100+VLOOKUP(Y101,Macronutrients,5,FALSE)*AC101+VLOOKUP(Y104,Micronutrients,5,FALSE)*AC104+VLOOKUP(Y105,Micronutrients,5,FALSE)*AC105+VLOOKUP(Y106,Micronutrients,5,FALSE)*AC106</f>
        <v>0</v>
      </c>
      <c r="AH102" s="589">
        <f>VLOOKUP(Y99,Macronutrients,7,FALSE)*AC99+VLOOKUP(Y100,Macronutrients,7,FALSE)*AC100+VLOOKUP(Y101,Macronutrients,7,FALSE)*AC101+VLOOKUP(Y104,Micronutrients,7,FALSE)*AC104+VLOOKUP(Y105,Micronutrients,7,FALSE)*AC105+VLOOKUP(Y106,Micronutrients,7,FALSE)*AC106</f>
        <v>0</v>
      </c>
      <c r="AI102" s="590">
        <f>VLOOKUP($A99,Macronutrients,6,FALSE)*$E$6+VLOOKUP($A100,Macronutrients,6,FALSE)*$E$7+VLOOKUP($A101,Macronutrients,6,FALSE)*$E$8+VLOOKUP($A104,Micronutrients,6,FALSE)*$E$11+VLOOKUP($A105,Micronutrients,6,FALSE)*AC105+VLOOKUP($A106,Micronutrients,6,FALSE)*$E$13</f>
        <v>0</v>
      </c>
    </row>
    <row r="103" spans="1:35" s="51" customFormat="1" ht="16.350000000000001" customHeight="1">
      <c r="A103" s="105" t="s">
        <v>501</v>
      </c>
      <c r="B103" s="821"/>
      <c r="C103" s="586"/>
      <c r="D103" s="821"/>
      <c r="E103" s="596"/>
      <c r="F103" s="48"/>
      <c r="G103" s="736"/>
      <c r="H103" s="2"/>
      <c r="I103" s="592"/>
      <c r="J103" s="592"/>
      <c r="K103" s="593"/>
      <c r="L103" s="732"/>
      <c r="M103" s="105" t="s">
        <v>501</v>
      </c>
      <c r="N103" s="821"/>
      <c r="O103" s="586"/>
      <c r="P103" s="821"/>
      <c r="Q103" s="596"/>
      <c r="R103" s="48"/>
      <c r="S103" s="736"/>
      <c r="T103" s="2"/>
      <c r="U103" s="592"/>
      <c r="V103" s="592"/>
      <c r="W103" s="593"/>
      <c r="X103" s="1032"/>
      <c r="Y103" s="105" t="s">
        <v>501</v>
      </c>
      <c r="Z103" s="821"/>
      <c r="AA103" s="586"/>
      <c r="AB103" s="821"/>
      <c r="AC103" s="596"/>
      <c r="AD103" s="48"/>
      <c r="AE103" s="736"/>
      <c r="AF103" s="2"/>
      <c r="AG103" s="592"/>
      <c r="AH103" s="592"/>
      <c r="AI103" s="593"/>
    </row>
    <row r="104" spans="1:35" s="51" customFormat="1" ht="16.350000000000001" customHeight="1">
      <c r="A104" s="584" t="s">
        <v>13</v>
      </c>
      <c r="B104" s="585">
        <f>VLOOKUP($A104,Micronutrients,14,FALSE)</f>
        <v>0</v>
      </c>
      <c r="C104" s="586">
        <f>VLOOKUP(A104,Micronutrients,18,FALSE)</f>
        <v>0</v>
      </c>
      <c r="D104" s="585">
        <f>VLOOKUP(A104,Micronutrients,16,FALSE)</f>
        <v>1</v>
      </c>
      <c r="E104" s="587">
        <v>0</v>
      </c>
      <c r="F104" s="588">
        <f>VLOOKUP(A104,Micronutrients,15,FALSE)</f>
        <v>0</v>
      </c>
      <c r="G104" s="736">
        <f>(E104*VLOOKUP(A104,Micronutrients,14,FALSE)/D104)*C104</f>
        <v>0</v>
      </c>
      <c r="H104" s="2"/>
      <c r="I104" s="607" t="s">
        <v>102</v>
      </c>
      <c r="J104" s="607" t="s">
        <v>103</v>
      </c>
      <c r="K104" s="608" t="s">
        <v>104</v>
      </c>
      <c r="L104" s="732"/>
      <c r="M104" s="584" t="s">
        <v>13</v>
      </c>
      <c r="N104" s="585">
        <f>VLOOKUP($A104,Micronutrients,14,FALSE)</f>
        <v>0</v>
      </c>
      <c r="O104" s="586">
        <f>VLOOKUP(M104,Micronutrients,18,FALSE)</f>
        <v>0</v>
      </c>
      <c r="P104" s="585">
        <f>VLOOKUP(M104,Micronutrients,16,FALSE)</f>
        <v>1</v>
      </c>
      <c r="Q104" s="587">
        <v>0</v>
      </c>
      <c r="R104" s="588">
        <f>VLOOKUP(M104,Micronutrients,15,FALSE)</f>
        <v>0</v>
      </c>
      <c r="S104" s="736">
        <f>(Q104*VLOOKUP(M104,Micronutrients,14,FALSE)/P104)*O104</f>
        <v>0</v>
      </c>
      <c r="T104" s="2"/>
      <c r="U104" s="607" t="s">
        <v>102</v>
      </c>
      <c r="V104" s="607" t="s">
        <v>103</v>
      </c>
      <c r="W104" s="608" t="s">
        <v>104</v>
      </c>
      <c r="X104" s="1032"/>
      <c r="Y104" s="584" t="s">
        <v>13</v>
      </c>
      <c r="Z104" s="585">
        <f>VLOOKUP($A104,Micronutrients,14,FALSE)</f>
        <v>0</v>
      </c>
      <c r="AA104" s="586">
        <f>VLOOKUP(Y104,Micronutrients,18,FALSE)</f>
        <v>0</v>
      </c>
      <c r="AB104" s="585">
        <f>VLOOKUP(Y104,Micronutrients,16,FALSE)</f>
        <v>1</v>
      </c>
      <c r="AC104" s="587">
        <v>0</v>
      </c>
      <c r="AD104" s="588">
        <f>VLOOKUP(Y104,Micronutrients,15,FALSE)</f>
        <v>0</v>
      </c>
      <c r="AE104" s="736">
        <f>(AC104*VLOOKUP(Y104,Micronutrients,14,FALSE)/AB104)*AA104</f>
        <v>0</v>
      </c>
      <c r="AF104" s="2"/>
      <c r="AG104" s="607" t="s">
        <v>102</v>
      </c>
      <c r="AH104" s="607" t="s">
        <v>103</v>
      </c>
      <c r="AI104" s="608" t="s">
        <v>104</v>
      </c>
    </row>
    <row r="105" spans="1:35" s="51" customFormat="1" ht="16.350000000000001" customHeight="1">
      <c r="A105" s="584" t="s">
        <v>13</v>
      </c>
      <c r="B105" s="585">
        <f>VLOOKUP($A105,Micronutrients,14,FALSE)</f>
        <v>0</v>
      </c>
      <c r="C105" s="586">
        <f>VLOOKUP(A105,Micronutrients,18,FALSE)</f>
        <v>0</v>
      </c>
      <c r="D105" s="585">
        <f>VLOOKUP(A105,Micronutrients,16,FALSE)</f>
        <v>1</v>
      </c>
      <c r="E105" s="587">
        <v>0</v>
      </c>
      <c r="F105" s="588">
        <f>VLOOKUP(A105,Micronutrients,15,FALSE)</f>
        <v>0</v>
      </c>
      <c r="G105" s="736">
        <f>(E105*VLOOKUP(A105,Micronutrients,14,FALSE)/D105)*C105</f>
        <v>0</v>
      </c>
      <c r="H105" s="2"/>
      <c r="I105" s="722">
        <f>VLOOKUP(A99,Macronutrients,8,FALSE)*E99+VLOOKUP(A100,Macronutrients,8,FALSE)*E100+VLOOKUP(A101,Macronutrients,8,FALSE)*E101+VLOOKUP(A104,Micronutrients,8,FALSE)*E104+VLOOKUP(A105,Micronutrients,8,FALSE)*E105+VLOOKUP(A106,Micronutrients,8,FALSE)*E106</f>
        <v>0</v>
      </c>
      <c r="J105" s="722">
        <f>VLOOKUP(A99,Macronutrients,9,FALSE)*E99+VLOOKUP(A100,Macronutrients,9,FALSE)*E100+VLOOKUP(A101,Macronutrients,9,FALSE)*E101+VLOOKUP(A104,Micronutrients,9,FALSE)*E104+VLOOKUP(A105,Micronutrients,9,FALSE)*E105+VLOOKUP(A106,Micronutrients,9,FALSE)*E106</f>
        <v>0</v>
      </c>
      <c r="K105" s="723">
        <f>VLOOKUP(A99,Macronutrients,10,FALSE)*E99+VLOOKUP(A100,Macronutrients,10,FALSE)*E100+VLOOKUP(A101,Macronutrients,10,FALSE)*E101+VLOOKUP(A104,Micronutrients,10,FALSE)*E104+VLOOKUP(A105,Micronutrients,10,FALSE)*E105+VLOOKUP(A106,Micronutrients,10,FALSE)*E106</f>
        <v>0</v>
      </c>
      <c r="L105" s="732"/>
      <c r="M105" s="584" t="s">
        <v>13</v>
      </c>
      <c r="N105" s="585">
        <f>VLOOKUP($A105,Micronutrients,14,FALSE)</f>
        <v>0</v>
      </c>
      <c r="O105" s="586">
        <f>VLOOKUP(M105,Micronutrients,18,FALSE)</f>
        <v>0</v>
      </c>
      <c r="P105" s="585">
        <f>VLOOKUP(M105,Micronutrients,16,FALSE)</f>
        <v>1</v>
      </c>
      <c r="Q105" s="587">
        <v>0</v>
      </c>
      <c r="R105" s="588">
        <f>VLOOKUP(M105,Micronutrients,15,FALSE)</f>
        <v>0</v>
      </c>
      <c r="S105" s="736">
        <f>(Q105*VLOOKUP(M105,Micronutrients,14,FALSE)/P105)*O105</f>
        <v>0</v>
      </c>
      <c r="T105" s="2"/>
      <c r="U105" s="722">
        <f>VLOOKUP(M99,Macronutrients,8,FALSE)*Q99+VLOOKUP(M100,Macronutrients,8,FALSE)*Q100+VLOOKUP(M101,Macronutrients,8,FALSE)*Q101+VLOOKUP(M104,Micronutrients,8,FALSE)*Q104+VLOOKUP(M105,Micronutrients,8,FALSE)*Q105+VLOOKUP(M106,Micronutrients,8,FALSE)*Q106</f>
        <v>0</v>
      </c>
      <c r="V105" s="722">
        <f>VLOOKUP(M99,Macronutrients,9,FALSE)*Q99+VLOOKUP(M100,Macronutrients,9,FALSE)*Q100+VLOOKUP(M101,Macronutrients,9,FALSE)*Q101+VLOOKUP(M104,Micronutrients,9,FALSE)*Q104+VLOOKUP(M105,Micronutrients,9,FALSE)*Q105+VLOOKUP(M106,Micronutrients,9,FALSE)*Q106</f>
        <v>0</v>
      </c>
      <c r="W105" s="723">
        <f>VLOOKUP(M99,Macronutrients,10,FALSE)*Q99+VLOOKUP(M100,Macronutrients,10,FALSE)*Q100+VLOOKUP(M101,Macronutrients,10,FALSE)*Q101+VLOOKUP(M104,Micronutrients,10,FALSE)*Q104+VLOOKUP(M105,Micronutrients,10,FALSE)*Q105+VLOOKUP(M106,Micronutrients,10,FALSE)*Q106</f>
        <v>0</v>
      </c>
      <c r="X105" s="1032"/>
      <c r="Y105" s="584" t="s">
        <v>13</v>
      </c>
      <c r="Z105" s="585">
        <f>VLOOKUP($A105,Micronutrients,14,FALSE)</f>
        <v>0</v>
      </c>
      <c r="AA105" s="586">
        <f>VLOOKUP(Y105,Micronutrients,18,FALSE)</f>
        <v>0</v>
      </c>
      <c r="AB105" s="585">
        <f>VLOOKUP(Y105,Micronutrients,16,FALSE)</f>
        <v>1</v>
      </c>
      <c r="AC105" s="587">
        <v>0</v>
      </c>
      <c r="AD105" s="588">
        <f>VLOOKUP(Y105,Micronutrients,15,FALSE)</f>
        <v>0</v>
      </c>
      <c r="AE105" s="736">
        <f>(AC105*VLOOKUP(Y105,Micronutrients,14,FALSE)/AB105)*AA105</f>
        <v>0</v>
      </c>
      <c r="AF105" s="2"/>
      <c r="AG105" s="722">
        <f>VLOOKUP(Y99,Macronutrients,8,FALSE)*AC99+VLOOKUP(Y100,Macronutrients,8,FALSE)*AC100+VLOOKUP(Y101,Macronutrients,8,FALSE)*AC101+VLOOKUP(Y104,Micronutrients,8,FALSE)*AC104+VLOOKUP(Y105,Micronutrients,8,FALSE)*AC105+VLOOKUP(Y106,Micronutrients,8,FALSE)*AC106</f>
        <v>0</v>
      </c>
      <c r="AH105" s="722">
        <f>VLOOKUP(Y99,Macronutrients,9,FALSE)*AC99+VLOOKUP(Y100,Macronutrients,9,FALSE)*AC100+VLOOKUP(Y101,Macronutrients,9,FALSE)*AC101+VLOOKUP(Y104,Micronutrients,9,FALSE)*AC104+VLOOKUP(Y105,Micronutrients,9,FALSE)*AC105+VLOOKUP(Y106,Micronutrients,9,FALSE)*AC106</f>
        <v>0</v>
      </c>
      <c r="AI105" s="723">
        <f>VLOOKUP(Y99,Macronutrients,10,FALSE)*AC99+VLOOKUP(Y100,Macronutrients,10,FALSE)*AC100+VLOOKUP(Y101,Macronutrients,10,FALSE)*AC101+VLOOKUP(Y104,Micronutrients,10,FALSE)*AC104+VLOOKUP(Y105,Micronutrients,10,FALSE)*AC105+VLOOKUP(Y106,Micronutrients,10,FALSE)*AC106</f>
        <v>0</v>
      </c>
    </row>
    <row r="106" spans="1:35" s="51" customFormat="1" ht="16.350000000000001" customHeight="1">
      <c r="A106" s="584" t="s">
        <v>13</v>
      </c>
      <c r="B106" s="585">
        <f>VLOOKUP($A106,Micronutrients,14,FALSE)</f>
        <v>0</v>
      </c>
      <c r="C106" s="586">
        <f>VLOOKUP(A106,Micronutrients,18,FALSE)</f>
        <v>0</v>
      </c>
      <c r="D106" s="585">
        <f>VLOOKUP(A106,Micronutrients,16,FALSE)</f>
        <v>1</v>
      </c>
      <c r="E106" s="587">
        <v>0</v>
      </c>
      <c r="F106" s="588">
        <f>VLOOKUP(A106,Micronutrients,15,FALSE)</f>
        <v>0</v>
      </c>
      <c r="G106" s="736">
        <f>(E106*VLOOKUP(A106,Micronutrients,14,FALSE)/D106)*C106</f>
        <v>0</v>
      </c>
      <c r="H106" s="2"/>
      <c r="I106" s="2"/>
      <c r="J106" s="2"/>
      <c r="K106" s="49"/>
      <c r="L106" s="732"/>
      <c r="M106" s="584" t="s">
        <v>13</v>
      </c>
      <c r="N106" s="585">
        <f>VLOOKUP($A106,Micronutrients,14,FALSE)</f>
        <v>0</v>
      </c>
      <c r="O106" s="586">
        <f>VLOOKUP(M106,Micronutrients,18,FALSE)</f>
        <v>0</v>
      </c>
      <c r="P106" s="585">
        <f>VLOOKUP(M106,Micronutrients,16,FALSE)</f>
        <v>1</v>
      </c>
      <c r="Q106" s="587">
        <v>0</v>
      </c>
      <c r="R106" s="588">
        <f>VLOOKUP(M106,Micronutrients,15,FALSE)</f>
        <v>0</v>
      </c>
      <c r="S106" s="736">
        <f>(Q106*VLOOKUP(M106,Micronutrients,14,FALSE)/P106)*O106</f>
        <v>0</v>
      </c>
      <c r="T106" s="2"/>
      <c r="U106" s="2"/>
      <c r="V106" s="2"/>
      <c r="W106" s="49"/>
      <c r="X106" s="1032"/>
      <c r="Y106" s="584" t="s">
        <v>13</v>
      </c>
      <c r="Z106" s="585">
        <f>VLOOKUP($A106,Micronutrients,14,FALSE)</f>
        <v>0</v>
      </c>
      <c r="AA106" s="586">
        <f>VLOOKUP(Y106,Micronutrients,18,FALSE)</f>
        <v>0</v>
      </c>
      <c r="AB106" s="585">
        <f>VLOOKUP(Y106,Micronutrients,16,FALSE)</f>
        <v>1</v>
      </c>
      <c r="AC106" s="587">
        <v>0</v>
      </c>
      <c r="AD106" s="588">
        <f>VLOOKUP(Y106,Micronutrients,15,FALSE)</f>
        <v>0</v>
      </c>
      <c r="AE106" s="736">
        <f>(AC106*VLOOKUP(Y106,Micronutrients,14,FALSE)/AB106)*AA106</f>
        <v>0</v>
      </c>
      <c r="AF106" s="2"/>
      <c r="AG106" s="2"/>
      <c r="AH106" s="2"/>
      <c r="AI106" s="49"/>
    </row>
    <row r="107" spans="1:35" s="51" customFormat="1" ht="16.350000000000001" customHeight="1">
      <c r="A107" s="595"/>
      <c r="B107" s="821"/>
      <c r="C107" s="586"/>
      <c r="D107" s="821"/>
      <c r="E107" s="596"/>
      <c r="F107" s="588"/>
      <c r="G107" s="736"/>
      <c r="H107" s="2"/>
      <c r="I107" s="607" t="s">
        <v>886</v>
      </c>
      <c r="J107" s="607" t="s">
        <v>887</v>
      </c>
      <c r="K107" s="608" t="s">
        <v>888</v>
      </c>
      <c r="L107" s="732"/>
      <c r="M107" s="595"/>
      <c r="N107" s="821"/>
      <c r="O107" s="586"/>
      <c r="P107" s="821"/>
      <c r="Q107" s="596"/>
      <c r="R107" s="588"/>
      <c r="S107" s="736"/>
      <c r="T107" s="2"/>
      <c r="U107" s="607" t="s">
        <v>886</v>
      </c>
      <c r="V107" s="607" t="s">
        <v>887</v>
      </c>
      <c r="W107" s="608" t="s">
        <v>888</v>
      </c>
      <c r="X107" s="1032"/>
      <c r="Y107" s="595"/>
      <c r="Z107" s="821"/>
      <c r="AA107" s="586"/>
      <c r="AB107" s="821"/>
      <c r="AC107" s="596"/>
      <c r="AD107" s="588"/>
      <c r="AE107" s="736"/>
      <c r="AF107" s="2"/>
      <c r="AG107" s="607" t="s">
        <v>886</v>
      </c>
      <c r="AH107" s="607" t="s">
        <v>887</v>
      </c>
      <c r="AI107" s="608" t="s">
        <v>888</v>
      </c>
    </row>
    <row r="108" spans="1:35" s="51" customFormat="1" ht="16.350000000000001" customHeight="1">
      <c r="A108" s="595"/>
      <c r="B108" s="821"/>
      <c r="C108" s="586"/>
      <c r="D108" s="821"/>
      <c r="E108" s="596"/>
      <c r="F108" s="48"/>
      <c r="G108" s="736"/>
      <c r="H108" s="2"/>
      <c r="I108" s="722">
        <f>VLOOKUP(A99,Macronutrients,11,FALSE)*E99+VLOOKUP(A100,Macronutrients,11,FALSE)*E100+VLOOKUP(A101,Macronutrients,11,FALSE)*E101+VLOOKUP(A104,Micronutrients,11,FALSE)*E104+VLOOKUP(A105,Micronutrients,11,FALSE)*E105+VLOOKUP(A106,Micronutrients,11,FALSE)*E106</f>
        <v>0</v>
      </c>
      <c r="J108" s="722">
        <f>VLOOKUP(A99,Macronutrients,12,FALSE)*E99+VLOOKUP(A100,Macronutrients,12,FALSE)*E100+VLOOKUP(A101,Macronutrients,12,FALSE)*E101+VLOOKUP(A104,Micronutrients,12,FALSE)*E104+VLOOKUP(A105,Micronutrients,12,FALSE)*E105+VLOOKUP(A106,Micronutrients,12,FALSE)*E106</f>
        <v>0</v>
      </c>
      <c r="K108" s="723">
        <f>VLOOKUP(A99,Macronutrients,13,FALSE)*E99+VLOOKUP(A100,Macronutrients,13,FALSE)*E100+VLOOKUP(A101,Macronutrients,13,FALSE)*E101+VLOOKUP(A104,Micronutrients,13,FALSE)*E104+VLOOKUP(A105,Micronutrients,13,FALSE)*E105+VLOOKUP(A106,Micronutrients,13,FALSE)*E106</f>
        <v>0</v>
      </c>
      <c r="L108" s="732"/>
      <c r="M108" s="595"/>
      <c r="N108" s="821"/>
      <c r="O108" s="586"/>
      <c r="P108" s="821"/>
      <c r="Q108" s="596"/>
      <c r="R108" s="48"/>
      <c r="S108" s="736"/>
      <c r="T108" s="2"/>
      <c r="U108" s="722">
        <f>VLOOKUP(M99,Macronutrients,11,FALSE)*Q99+VLOOKUP(M100,Macronutrients,11,FALSE)*Q100+VLOOKUP(M101,Macronutrients,11,FALSE)*Q101+VLOOKUP(M104,Micronutrients,11,FALSE)*Q104+VLOOKUP(M105,Micronutrients,11,FALSE)*Q105+VLOOKUP(M106,Micronutrients,11,FALSE)*Q106</f>
        <v>0</v>
      </c>
      <c r="V108" s="722">
        <f>VLOOKUP(M99,Macronutrients,12,FALSE)*Q99+VLOOKUP(M100,Macronutrients,12,FALSE)*Q100+VLOOKUP(M101,Macronutrients,12,FALSE)*Q101+VLOOKUP(M104,Micronutrients,12,FALSE)*Q104+VLOOKUP(M105,Micronutrients,12,FALSE)*Q105+VLOOKUP(M106,Micronutrients,12,FALSE)*Q106</f>
        <v>0</v>
      </c>
      <c r="W108" s="723">
        <f>VLOOKUP(M99,Macronutrients,13,FALSE)*Q99+VLOOKUP(M100,Macronutrients,13,FALSE)*Q100+VLOOKUP(M101,Macronutrients,13,FALSE)*Q101+VLOOKUP(M104,Micronutrients,13,FALSE)*Q104+VLOOKUP(M105,Micronutrients,13,FALSE)*Q105+VLOOKUP(M106,Micronutrients,13,FALSE)*Q106</f>
        <v>0</v>
      </c>
      <c r="X108" s="1032"/>
      <c r="Y108" s="595"/>
      <c r="Z108" s="821"/>
      <c r="AA108" s="586"/>
      <c r="AB108" s="821"/>
      <c r="AC108" s="596"/>
      <c r="AD108" s="48"/>
      <c r="AE108" s="736"/>
      <c r="AF108" s="2"/>
      <c r="AG108" s="722">
        <f>VLOOKUP(Y99,Macronutrients,11,FALSE)*AC99+VLOOKUP(Y100,Macronutrients,11,FALSE)*AC100+VLOOKUP(Y101,Macronutrients,11,FALSE)*AC101+VLOOKUP(Y104,Micronutrients,11,FALSE)*AC104+VLOOKUP(Y105,Micronutrients,11,FALSE)*AC105+VLOOKUP(Y106,Micronutrients,11,FALSE)*AC106</f>
        <v>0</v>
      </c>
      <c r="AH108" s="722">
        <f>VLOOKUP(Y99,Macronutrients,12,FALSE)*AC99+VLOOKUP(Y100,Macronutrients,12,FALSE)*AC100+VLOOKUP(Y101,Macronutrients,12,FALSE)*AC101+VLOOKUP(Y104,Micronutrients,12,FALSE)*AC104+VLOOKUP(Y105,Micronutrients,12,FALSE)*AC105+VLOOKUP(Y106,Micronutrients,12,FALSE)*AC106</f>
        <v>0</v>
      </c>
      <c r="AI108" s="723">
        <f>VLOOKUP(Y99,Macronutrients,13,FALSE)*AC99+VLOOKUP(Y100,Macronutrients,13,FALSE)*AC100+VLOOKUP(Y101,Macronutrients,13,FALSE)*AC101+VLOOKUP(Y104,Micronutrients,13,FALSE)*AC104+VLOOKUP(Y105,Micronutrients,13,FALSE)*AC105+VLOOKUP(Y106,Micronutrients,13,FALSE)*AC106</f>
        <v>0</v>
      </c>
    </row>
    <row r="109" spans="1:35" s="51" customFormat="1" ht="16.350000000000001" customHeight="1">
      <c r="A109" s="105" t="s">
        <v>425</v>
      </c>
      <c r="B109" s="822"/>
      <c r="C109" s="823"/>
      <c r="D109" s="822"/>
      <c r="E109" s="824"/>
      <c r="F109" s="106"/>
      <c r="G109" s="826"/>
      <c r="H109" s="2"/>
      <c r="I109" s="825"/>
      <c r="J109" s="825"/>
      <c r="K109" s="724"/>
      <c r="L109" s="732"/>
      <c r="M109" s="105" t="s">
        <v>425</v>
      </c>
      <c r="N109" s="822"/>
      <c r="O109" s="823"/>
      <c r="P109" s="822"/>
      <c r="Q109" s="824"/>
      <c r="R109" s="106"/>
      <c r="S109" s="826"/>
      <c r="T109" s="2"/>
      <c r="U109" s="825"/>
      <c r="V109" s="825"/>
      <c r="W109" s="724"/>
      <c r="X109" s="1032"/>
      <c r="Y109" s="105" t="s">
        <v>425</v>
      </c>
      <c r="Z109" s="822"/>
      <c r="AA109" s="823"/>
      <c r="AB109" s="822"/>
      <c r="AC109" s="824"/>
      <c r="AD109" s="106"/>
      <c r="AE109" s="826"/>
      <c r="AF109" s="2"/>
      <c r="AG109" s="825"/>
      <c r="AH109" s="825"/>
      <c r="AI109" s="724"/>
    </row>
    <row r="110" spans="1:35" s="51" customFormat="1" ht="16.350000000000001" customHeight="1">
      <c r="A110" s="358" t="s">
        <v>13</v>
      </c>
      <c r="B110" s="585">
        <f>VLOOKUP(A110,NitrogenStabilizers,14,FALSE)</f>
        <v>0</v>
      </c>
      <c r="C110" s="586">
        <f>VLOOKUP(A110,NitrogenStabilizers,15,FALSE)</f>
        <v>0</v>
      </c>
      <c r="D110" s="585">
        <f>VLOOKUP(A110,NitrogenStabilizers,16,FALSE)</f>
        <v>1</v>
      </c>
      <c r="E110" s="587">
        <v>0</v>
      </c>
      <c r="F110" s="588">
        <f>VLOOKUP(A110,NitrogenStabilizers,15,FALSE)</f>
        <v>0</v>
      </c>
      <c r="G110" s="736">
        <f>(E110*VLOOKUP(A110,NitrogenStabilizers,14,FALSE)/D110)*C110</f>
        <v>0</v>
      </c>
      <c r="H110" s="2"/>
      <c r="I110" s="2"/>
      <c r="J110" s="2"/>
      <c r="K110" s="598" t="s">
        <v>255</v>
      </c>
      <c r="L110" s="732"/>
      <c r="M110" s="358" t="s">
        <v>13</v>
      </c>
      <c r="N110" s="585">
        <f>VLOOKUP(M110,NitrogenStabilizers,14,FALSE)</f>
        <v>0</v>
      </c>
      <c r="O110" s="586">
        <f>VLOOKUP(M110,NitrogenStabilizers,15,FALSE)</f>
        <v>0</v>
      </c>
      <c r="P110" s="585">
        <f>VLOOKUP(M110,NitrogenStabilizers,16,FALSE)</f>
        <v>1</v>
      </c>
      <c r="Q110" s="587">
        <v>0</v>
      </c>
      <c r="R110" s="588">
        <f>VLOOKUP(M110,NitrogenStabilizers,15,FALSE)</f>
        <v>0</v>
      </c>
      <c r="S110" s="736">
        <f>(Q110*VLOOKUP(M110,NitrogenStabilizers,14,FALSE)/P110)*O110</f>
        <v>0</v>
      </c>
      <c r="T110" s="2"/>
      <c r="U110" s="2"/>
      <c r="V110" s="2"/>
      <c r="W110" s="598" t="s">
        <v>255</v>
      </c>
      <c r="X110" s="1032"/>
      <c r="Y110" s="358" t="s">
        <v>13</v>
      </c>
      <c r="Z110" s="585">
        <f>VLOOKUP(Y110,NitrogenStabilizers,14,FALSE)</f>
        <v>0</v>
      </c>
      <c r="AA110" s="586">
        <f>VLOOKUP(Y110,NitrogenStabilizers,15,FALSE)</f>
        <v>0</v>
      </c>
      <c r="AB110" s="585">
        <f>VLOOKUP(Y110,NitrogenStabilizers,16,FALSE)</f>
        <v>1</v>
      </c>
      <c r="AC110" s="587">
        <v>0</v>
      </c>
      <c r="AD110" s="588">
        <f>VLOOKUP(Y110,NitrogenStabilizers,15,FALSE)</f>
        <v>0</v>
      </c>
      <c r="AE110" s="736">
        <f>(AC110*VLOOKUP(Y110,NitrogenStabilizers,14,FALSE)/AB110)*AA110</f>
        <v>0</v>
      </c>
      <c r="AF110" s="2"/>
      <c r="AG110" s="2"/>
      <c r="AH110" s="2"/>
      <c r="AI110" s="598" t="s">
        <v>255</v>
      </c>
    </row>
    <row r="111" spans="1:35" s="51" customFormat="1" ht="16.350000000000001" customHeight="1" thickBot="1">
      <c r="A111" s="599" t="s">
        <v>127</v>
      </c>
      <c r="B111" s="600"/>
      <c r="C111" s="600"/>
      <c r="D111" s="600"/>
      <c r="E111" s="601"/>
      <c r="F111" s="600"/>
      <c r="G111" s="602">
        <f>SUM(G99:G110)</f>
        <v>0</v>
      </c>
      <c r="H111" s="2"/>
      <c r="I111" s="2"/>
      <c r="J111" s="2"/>
      <c r="K111" s="598" t="s">
        <v>256</v>
      </c>
      <c r="L111" s="732"/>
      <c r="M111" s="599" t="s">
        <v>127</v>
      </c>
      <c r="N111" s="600"/>
      <c r="O111" s="600"/>
      <c r="P111" s="600"/>
      <c r="Q111" s="601"/>
      <c r="R111" s="600"/>
      <c r="S111" s="602">
        <f>SUM(S99:S110)</f>
        <v>0</v>
      </c>
      <c r="T111" s="2"/>
      <c r="U111" s="2"/>
      <c r="V111" s="2"/>
      <c r="W111" s="598" t="s">
        <v>256</v>
      </c>
      <c r="X111" s="1032"/>
      <c r="Y111" s="599" t="s">
        <v>127</v>
      </c>
      <c r="Z111" s="600"/>
      <c r="AA111" s="600"/>
      <c r="AB111" s="600"/>
      <c r="AC111" s="601"/>
      <c r="AD111" s="600"/>
      <c r="AE111" s="602">
        <f>SUM(AE99:AE110)</f>
        <v>0</v>
      </c>
      <c r="AF111" s="2"/>
      <c r="AG111" s="2"/>
      <c r="AH111" s="2"/>
      <c r="AI111" s="598" t="s">
        <v>256</v>
      </c>
    </row>
    <row r="112" spans="1:35" s="51" customFormat="1" ht="16.350000000000001" customHeight="1" thickTop="1">
      <c r="A112" s="545"/>
      <c r="B112" s="118"/>
      <c r="C112" s="118"/>
      <c r="D112" s="118"/>
      <c r="E112" s="118"/>
      <c r="F112" s="118"/>
      <c r="G112" s="116"/>
      <c r="H112" s="2"/>
      <c r="I112" s="2"/>
      <c r="J112" s="2"/>
      <c r="K112" s="603" t="s">
        <v>254</v>
      </c>
      <c r="L112" s="732"/>
      <c r="M112" s="545"/>
      <c r="N112" s="118"/>
      <c r="O112" s="118"/>
      <c r="P112" s="118"/>
      <c r="Q112" s="118"/>
      <c r="R112" s="118"/>
      <c r="S112" s="116"/>
      <c r="T112" s="2"/>
      <c r="U112" s="2"/>
      <c r="V112" s="2"/>
      <c r="W112" s="603" t="s">
        <v>254</v>
      </c>
      <c r="X112" s="1032"/>
      <c r="Y112" s="545"/>
      <c r="Z112" s="118"/>
      <c r="AA112" s="118"/>
      <c r="AB112" s="118"/>
      <c r="AC112" s="118"/>
      <c r="AD112" s="118"/>
      <c r="AE112" s="116"/>
      <c r="AF112" s="2"/>
      <c r="AG112" s="2"/>
      <c r="AH112" s="2"/>
      <c r="AI112" s="603" t="s">
        <v>254</v>
      </c>
    </row>
    <row r="113" spans="1:35" s="51" customFormat="1" ht="16.350000000000001" customHeight="1" thickBot="1">
      <c r="A113" s="24"/>
      <c r="B113" s="97"/>
      <c r="C113" s="97"/>
      <c r="D113" s="97"/>
      <c r="E113" s="97"/>
      <c r="F113" s="97"/>
      <c r="G113" s="97"/>
      <c r="H113" s="97"/>
      <c r="I113" s="97"/>
      <c r="J113" s="97"/>
      <c r="K113" s="604"/>
      <c r="L113" s="732"/>
      <c r="M113" s="24"/>
      <c r="N113" s="97"/>
      <c r="O113" s="97"/>
      <c r="P113" s="97"/>
      <c r="Q113" s="97"/>
      <c r="R113" s="97"/>
      <c r="S113" s="97"/>
      <c r="T113" s="97"/>
      <c r="U113" s="97"/>
      <c r="V113" s="97"/>
      <c r="W113" s="604"/>
      <c r="X113" s="1032"/>
      <c r="Y113" s="24"/>
      <c r="Z113" s="97"/>
      <c r="AA113" s="97"/>
      <c r="AB113" s="97"/>
      <c r="AC113" s="97"/>
      <c r="AD113" s="97"/>
      <c r="AE113" s="97"/>
      <c r="AF113" s="97"/>
      <c r="AG113" s="97"/>
      <c r="AH113" s="97"/>
      <c r="AI113" s="604"/>
    </row>
    <row r="114" spans="1:35" s="51" customFormat="1" ht="16.350000000000001" customHeight="1" thickBot="1">
      <c r="A114" s="1026" t="s">
        <v>943</v>
      </c>
      <c r="B114" s="1027"/>
      <c r="C114" s="1027"/>
      <c r="D114" s="1027"/>
      <c r="E114" s="1027"/>
      <c r="F114" s="1027"/>
      <c r="G114" s="1027"/>
      <c r="H114" s="1027"/>
      <c r="I114" s="1027"/>
      <c r="J114" s="1027"/>
      <c r="K114" s="1028"/>
      <c r="L114" s="732"/>
      <c r="M114" s="1026" t="s">
        <v>943</v>
      </c>
      <c r="N114" s="1027"/>
      <c r="O114" s="1027"/>
      <c r="P114" s="1027"/>
      <c r="Q114" s="1027"/>
      <c r="R114" s="1027"/>
      <c r="S114" s="1027"/>
      <c r="T114" s="1027"/>
      <c r="U114" s="1027"/>
      <c r="V114" s="1027"/>
      <c r="W114" s="1028"/>
      <c r="X114" s="1032"/>
      <c r="Y114" s="1026" t="s">
        <v>943</v>
      </c>
      <c r="Z114" s="1027"/>
      <c r="AA114" s="1027"/>
      <c r="AB114" s="1027"/>
      <c r="AC114" s="1027"/>
      <c r="AD114" s="1027"/>
      <c r="AE114" s="1027"/>
      <c r="AF114" s="1027"/>
      <c r="AG114" s="1027"/>
      <c r="AH114" s="1027"/>
      <c r="AI114" s="1028"/>
    </row>
    <row r="115" spans="1:35" s="51" customFormat="1" ht="16.350000000000001" customHeight="1">
      <c r="A115" s="810" t="s">
        <v>126</v>
      </c>
      <c r="B115" s="811" t="s">
        <v>106</v>
      </c>
      <c r="C115" s="812" t="s">
        <v>107</v>
      </c>
      <c r="D115" s="813" t="s">
        <v>12</v>
      </c>
      <c r="E115" s="813" t="s">
        <v>108</v>
      </c>
      <c r="F115" s="811" t="s">
        <v>11</v>
      </c>
      <c r="G115" s="813" t="s">
        <v>109</v>
      </c>
      <c r="H115" s="814"/>
      <c r="I115" s="814"/>
      <c r="J115" s="814"/>
      <c r="K115" s="815"/>
      <c r="L115" s="732"/>
      <c r="M115" s="810" t="s">
        <v>126</v>
      </c>
      <c r="N115" s="811" t="s">
        <v>106</v>
      </c>
      <c r="O115" s="812" t="s">
        <v>107</v>
      </c>
      <c r="P115" s="813" t="s">
        <v>12</v>
      </c>
      <c r="Q115" s="813" t="s">
        <v>108</v>
      </c>
      <c r="R115" s="811" t="s">
        <v>11</v>
      </c>
      <c r="S115" s="813" t="s">
        <v>109</v>
      </c>
      <c r="T115" s="814"/>
      <c r="U115" s="814"/>
      <c r="V115" s="814"/>
      <c r="W115" s="815"/>
      <c r="X115" s="1032"/>
      <c r="Y115" s="810" t="s">
        <v>126</v>
      </c>
      <c r="Z115" s="811" t="s">
        <v>106</v>
      </c>
      <c r="AA115" s="812" t="s">
        <v>107</v>
      </c>
      <c r="AB115" s="813" t="s">
        <v>12</v>
      </c>
      <c r="AC115" s="813" t="s">
        <v>108</v>
      </c>
      <c r="AD115" s="811" t="s">
        <v>11</v>
      </c>
      <c r="AE115" s="813" t="s">
        <v>109</v>
      </c>
      <c r="AF115" s="814"/>
      <c r="AG115" s="814"/>
      <c r="AH115" s="814"/>
      <c r="AI115" s="815"/>
    </row>
    <row r="116" spans="1:35" s="51" customFormat="1" ht="16.350000000000001" customHeight="1">
      <c r="A116" s="105" t="s">
        <v>500</v>
      </c>
      <c r="B116" s="48"/>
      <c r="C116" s="820"/>
      <c r="D116" s="36"/>
      <c r="E116" s="45" t="s">
        <v>128</v>
      </c>
      <c r="F116" s="41"/>
      <c r="G116" s="38"/>
      <c r="H116" s="2"/>
      <c r="I116" s="607" t="s">
        <v>96</v>
      </c>
      <c r="J116" s="607" t="s">
        <v>97</v>
      </c>
      <c r="K116" s="608" t="s">
        <v>98</v>
      </c>
      <c r="L116" s="732"/>
      <c r="M116" s="105" t="s">
        <v>500</v>
      </c>
      <c r="N116" s="48"/>
      <c r="O116" s="820"/>
      <c r="P116" s="36"/>
      <c r="Q116" s="45" t="s">
        <v>128</v>
      </c>
      <c r="R116" s="41"/>
      <c r="S116" s="38"/>
      <c r="T116" s="2"/>
      <c r="U116" s="607" t="s">
        <v>96</v>
      </c>
      <c r="V116" s="607" t="s">
        <v>97</v>
      </c>
      <c r="W116" s="608" t="s">
        <v>98</v>
      </c>
      <c r="X116" s="1032"/>
      <c r="Y116" s="105" t="s">
        <v>500</v>
      </c>
      <c r="Z116" s="48"/>
      <c r="AA116" s="820"/>
      <c r="AB116" s="36"/>
      <c r="AC116" s="45" t="s">
        <v>128</v>
      </c>
      <c r="AD116" s="41"/>
      <c r="AE116" s="38"/>
      <c r="AF116" s="2"/>
      <c r="AG116" s="607" t="s">
        <v>96</v>
      </c>
      <c r="AH116" s="607" t="s">
        <v>97</v>
      </c>
      <c r="AI116" s="608" t="s">
        <v>98</v>
      </c>
    </row>
    <row r="117" spans="1:35" s="51" customFormat="1" ht="16.350000000000001" customHeight="1">
      <c r="A117" s="584" t="s">
        <v>13</v>
      </c>
      <c r="B117" s="585">
        <f t="shared" ref="B117:B119" si="90">VLOOKUP(A117,Macronutrients,14,FALSE)</f>
        <v>0</v>
      </c>
      <c r="C117" s="586">
        <f t="shared" ref="C117:C119" si="91">VLOOKUP(A117,Macronutrients,18,FALSE)</f>
        <v>0</v>
      </c>
      <c r="D117" s="585">
        <f t="shared" ref="D117:D119" si="92">VLOOKUP(A117,Macronutrients,16,FALSE)</f>
        <v>1</v>
      </c>
      <c r="E117" s="587">
        <v>0</v>
      </c>
      <c r="F117" s="588">
        <f t="shared" ref="F117:F119" si="93">VLOOKUP(A117,Macronutrients,15,FALSE)</f>
        <v>0</v>
      </c>
      <c r="G117" s="736">
        <f t="shared" ref="G117:G119" si="94">(E117*VLOOKUP(A117,Macronutrients,14,FALSE)/D117)*C117</f>
        <v>0</v>
      </c>
      <c r="H117" s="2"/>
      <c r="I117" s="725">
        <f>VLOOKUP(A117,Macronutrients,2,FALSE)*E117+VLOOKUP(A118,Macronutrients,2,FALSE)*E118+VLOOKUP(A119,Macronutrients,2,FALSE)*E119+VLOOKUP(A122,Micronutrients,2,FALSE)*E122+VLOOKUP(A123,Micronutrients,2,FALSE)*E123+VLOOKUP(A124,Micronutrients,2,FALSE)*E124</f>
        <v>0</v>
      </c>
      <c r="J117" s="589">
        <f>VLOOKUP(A117,Macronutrients,3,FALSE)*E117+VLOOKUP(A118,Macronutrients,3,FALSE)*E118+VLOOKUP(A119,Macronutrients,3,FALSE)*E119+VLOOKUP(A122,Micronutrients,3,FALSE)*E122+VLOOKUP(A123,Micronutrients,3,FALSE)*E123+VLOOKUP(A124,Micronutrients,3,FALSE)*E124</f>
        <v>0</v>
      </c>
      <c r="K117" s="590">
        <f>VLOOKUP(A117,Macronutrients,4,FALSE)*E117+VLOOKUP(A118,Macronutrients,4,FALSE)*E118+VLOOKUP(A119,Macronutrients,4,FALSE)*E119+VLOOKUP(A122,Micronutrients,4,FALSE)*E122+VLOOKUP(A123,Micronutrients,4,FALSE)*E123+VLOOKUP(A124,Micronutrients,4,FALSE)*E124</f>
        <v>0</v>
      </c>
      <c r="L117" s="732"/>
      <c r="M117" s="584" t="s">
        <v>13</v>
      </c>
      <c r="N117" s="585">
        <f t="shared" ref="N117:N119" si="95">VLOOKUP(M117,Macronutrients,14,FALSE)</f>
        <v>0</v>
      </c>
      <c r="O117" s="586">
        <f t="shared" ref="O117:O119" si="96">VLOOKUP(M117,Macronutrients,18,FALSE)</f>
        <v>0</v>
      </c>
      <c r="P117" s="585">
        <f t="shared" ref="P117:P119" si="97">VLOOKUP(M117,Macronutrients,16,FALSE)</f>
        <v>1</v>
      </c>
      <c r="Q117" s="587">
        <v>0</v>
      </c>
      <c r="R117" s="588">
        <f t="shared" ref="R117:R119" si="98">VLOOKUP(M117,Macronutrients,15,FALSE)</f>
        <v>0</v>
      </c>
      <c r="S117" s="736">
        <f t="shared" ref="S117:S119" si="99">(Q117*VLOOKUP(M117,Macronutrients,14,FALSE)/P117)*O117</f>
        <v>0</v>
      </c>
      <c r="T117" s="2"/>
      <c r="U117" s="725">
        <f>VLOOKUP(M117,Macronutrients,2,FALSE)*Q117+VLOOKUP(M118,Macronutrients,2,FALSE)*Q118+VLOOKUP(M119,Macronutrients,2,FALSE)*Q119+VLOOKUP(M122,Micronutrients,2,FALSE)*Q122+VLOOKUP(M123,Micronutrients,2,FALSE)*Q123+VLOOKUP(M124,Micronutrients,2,FALSE)*Q124</f>
        <v>0</v>
      </c>
      <c r="V117" s="589">
        <f>VLOOKUP(M117,Macronutrients,3,FALSE)*Q117+VLOOKUP(M118,Macronutrients,3,FALSE)*Q118+VLOOKUP(M119,Macronutrients,3,FALSE)*Q119+VLOOKUP(M122,Micronutrients,3,FALSE)*Q122+VLOOKUP(M123,Micronutrients,3,FALSE)*Q123+VLOOKUP(M124,Micronutrients,3,FALSE)*Q124</f>
        <v>0</v>
      </c>
      <c r="W117" s="590">
        <f>VLOOKUP(M117,Macronutrients,4,FALSE)*Q117+VLOOKUP(M118,Macronutrients,4,FALSE)*Q118+VLOOKUP(M119,Macronutrients,4,FALSE)*Q119+VLOOKUP(M122,Micronutrients,4,FALSE)*Q122+VLOOKUP(M123,Micronutrients,4,FALSE)*Q123+VLOOKUP(M124,Micronutrients,4,FALSE)*Q124</f>
        <v>0</v>
      </c>
      <c r="X117" s="1032"/>
      <c r="Y117" s="584" t="s">
        <v>13</v>
      </c>
      <c r="Z117" s="585">
        <f t="shared" ref="Z117:Z119" si="100">VLOOKUP(Y117,Macronutrients,14,FALSE)</f>
        <v>0</v>
      </c>
      <c r="AA117" s="586">
        <f t="shared" ref="AA117:AA119" si="101">VLOOKUP(Y117,Macronutrients,18,FALSE)</f>
        <v>0</v>
      </c>
      <c r="AB117" s="585">
        <f t="shared" ref="AB117:AB119" si="102">VLOOKUP(Y117,Macronutrients,16,FALSE)</f>
        <v>1</v>
      </c>
      <c r="AC117" s="587">
        <v>0</v>
      </c>
      <c r="AD117" s="588">
        <f t="shared" ref="AD117:AD119" si="103">VLOOKUP(Y117,Macronutrients,15,FALSE)</f>
        <v>0</v>
      </c>
      <c r="AE117" s="736">
        <f t="shared" ref="AE117:AE119" si="104">(AC117*VLOOKUP(Y117,Macronutrients,14,FALSE)/AB117)*AA117</f>
        <v>0</v>
      </c>
      <c r="AF117" s="2"/>
      <c r="AG117" s="725">
        <f>VLOOKUP(Y117,Macronutrients,2,FALSE)*AC117+VLOOKUP(Y118,Macronutrients,2,FALSE)*AC118+VLOOKUP(Y119,Macronutrients,2,FALSE)*AC119+VLOOKUP(Y122,Micronutrients,2,FALSE)*AC122+VLOOKUP(Y123,Micronutrients,2,FALSE)*AC123+VLOOKUP(Y124,Micronutrients,2,FALSE)*AC124</f>
        <v>0</v>
      </c>
      <c r="AH117" s="589">
        <f>VLOOKUP(Y117,Macronutrients,3,FALSE)*AC117+VLOOKUP(Y118,Macronutrients,3,FALSE)*AC118+VLOOKUP(Y119,Macronutrients,3,FALSE)*AC119+VLOOKUP(Y122,Micronutrients,3,FALSE)*AC122+VLOOKUP(Y123,Micronutrients,3,FALSE)*AC123+VLOOKUP(Y124,Micronutrients,3,FALSE)*AC124</f>
        <v>0</v>
      </c>
      <c r="AI117" s="590">
        <f>VLOOKUP(Y117,Macronutrients,4,FALSE)*AC117+VLOOKUP(Y118,Macronutrients,4,FALSE)*AC118+VLOOKUP(Y119,Macronutrients,4,FALSE)*AC119+VLOOKUP(Y122,Micronutrients,4,FALSE)*AC122+VLOOKUP(Y123,Micronutrients,4,FALSE)*AC123+VLOOKUP(Y124,Micronutrients,4,FALSE)*AC124</f>
        <v>0</v>
      </c>
    </row>
    <row r="118" spans="1:35" s="51" customFormat="1" ht="16.350000000000001" customHeight="1">
      <c r="A118" s="584" t="s">
        <v>13</v>
      </c>
      <c r="B118" s="585">
        <f t="shared" si="90"/>
        <v>0</v>
      </c>
      <c r="C118" s="586">
        <f t="shared" si="91"/>
        <v>0</v>
      </c>
      <c r="D118" s="585">
        <f t="shared" si="92"/>
        <v>1</v>
      </c>
      <c r="E118" s="587">
        <v>0</v>
      </c>
      <c r="F118" s="588">
        <f t="shared" si="93"/>
        <v>0</v>
      </c>
      <c r="G118" s="736">
        <f t="shared" si="94"/>
        <v>0</v>
      </c>
      <c r="H118" s="2"/>
      <c r="I118" s="592"/>
      <c r="J118" s="592"/>
      <c r="K118" s="593"/>
      <c r="L118" s="732"/>
      <c r="M118" s="584" t="s">
        <v>13</v>
      </c>
      <c r="N118" s="585">
        <f t="shared" si="95"/>
        <v>0</v>
      </c>
      <c r="O118" s="586">
        <f t="shared" si="96"/>
        <v>0</v>
      </c>
      <c r="P118" s="585">
        <f t="shared" si="97"/>
        <v>1</v>
      </c>
      <c r="Q118" s="587">
        <v>0</v>
      </c>
      <c r="R118" s="588">
        <f t="shared" si="98"/>
        <v>0</v>
      </c>
      <c r="S118" s="736">
        <f t="shared" si="99"/>
        <v>0</v>
      </c>
      <c r="T118" s="2"/>
      <c r="U118" s="592"/>
      <c r="V118" s="592"/>
      <c r="W118" s="593"/>
      <c r="X118" s="1032"/>
      <c r="Y118" s="584" t="s">
        <v>13</v>
      </c>
      <c r="Z118" s="585">
        <f t="shared" si="100"/>
        <v>0</v>
      </c>
      <c r="AA118" s="586">
        <f t="shared" si="101"/>
        <v>0</v>
      </c>
      <c r="AB118" s="585">
        <f t="shared" si="102"/>
        <v>1</v>
      </c>
      <c r="AC118" s="587">
        <v>0</v>
      </c>
      <c r="AD118" s="588">
        <f t="shared" si="103"/>
        <v>0</v>
      </c>
      <c r="AE118" s="736">
        <f t="shared" si="104"/>
        <v>0</v>
      </c>
      <c r="AF118" s="2"/>
      <c r="AG118" s="592"/>
      <c r="AH118" s="592"/>
      <c r="AI118" s="593"/>
    </row>
    <row r="119" spans="1:35" s="51" customFormat="1" ht="16.350000000000001" customHeight="1">
      <c r="A119" s="584" t="s">
        <v>13</v>
      </c>
      <c r="B119" s="585">
        <f t="shared" si="90"/>
        <v>0</v>
      </c>
      <c r="C119" s="586">
        <f t="shared" si="91"/>
        <v>0</v>
      </c>
      <c r="D119" s="585">
        <f t="shared" si="92"/>
        <v>1</v>
      </c>
      <c r="E119" s="587">
        <v>0</v>
      </c>
      <c r="F119" s="588">
        <f t="shared" si="93"/>
        <v>0</v>
      </c>
      <c r="G119" s="736">
        <f t="shared" si="94"/>
        <v>0</v>
      </c>
      <c r="I119" s="607" t="s">
        <v>99</v>
      </c>
      <c r="J119" s="607" t="s">
        <v>100</v>
      </c>
      <c r="K119" s="608" t="s">
        <v>101</v>
      </c>
      <c r="L119" s="732"/>
      <c r="M119" s="584" t="s">
        <v>13</v>
      </c>
      <c r="N119" s="585">
        <f t="shared" si="95"/>
        <v>0</v>
      </c>
      <c r="O119" s="586">
        <f t="shared" si="96"/>
        <v>0</v>
      </c>
      <c r="P119" s="585">
        <f t="shared" si="97"/>
        <v>1</v>
      </c>
      <c r="Q119" s="587">
        <v>0</v>
      </c>
      <c r="R119" s="588">
        <f t="shared" si="98"/>
        <v>0</v>
      </c>
      <c r="S119" s="736">
        <f t="shared" si="99"/>
        <v>0</v>
      </c>
      <c r="U119" s="607" t="s">
        <v>99</v>
      </c>
      <c r="V119" s="607" t="s">
        <v>100</v>
      </c>
      <c r="W119" s="608" t="s">
        <v>101</v>
      </c>
      <c r="X119" s="1032"/>
      <c r="Y119" s="584" t="s">
        <v>13</v>
      </c>
      <c r="Z119" s="585">
        <f t="shared" si="100"/>
        <v>0</v>
      </c>
      <c r="AA119" s="586">
        <f t="shared" si="101"/>
        <v>0</v>
      </c>
      <c r="AB119" s="585">
        <f t="shared" si="102"/>
        <v>1</v>
      </c>
      <c r="AC119" s="587">
        <v>0</v>
      </c>
      <c r="AD119" s="588">
        <f t="shared" si="103"/>
        <v>0</v>
      </c>
      <c r="AE119" s="736">
        <f t="shared" si="104"/>
        <v>0</v>
      </c>
      <c r="AG119" s="607" t="s">
        <v>99</v>
      </c>
      <c r="AH119" s="607" t="s">
        <v>100</v>
      </c>
      <c r="AI119" s="608" t="s">
        <v>101</v>
      </c>
    </row>
    <row r="120" spans="1:35" s="51" customFormat="1" ht="16.350000000000001" customHeight="1">
      <c r="A120" s="595"/>
      <c r="B120" s="38"/>
      <c r="C120" s="586"/>
      <c r="D120" s="588"/>
      <c r="E120" s="111"/>
      <c r="F120" s="588"/>
      <c r="G120" s="736"/>
      <c r="H120" s="2"/>
      <c r="I120" s="589">
        <f>VLOOKUP(A117,Macronutrients,5,FALSE)*E117+VLOOKUP(A118,Macronutrients,5,FALSE)*E118+VLOOKUP(A119,Macronutrients,5,FALSE)*E119+VLOOKUP(A122,Micronutrients,5,FALSE)*E122+VLOOKUP(A123,Micronutrients,5,FALSE)*E123+VLOOKUP(A124,Micronutrients,5,FALSE)*E124</f>
        <v>0</v>
      </c>
      <c r="J120" s="589">
        <f>VLOOKUP(A117,Macronutrients,7,FALSE)*E117+VLOOKUP(A118,Macronutrients,7,FALSE)*E118+VLOOKUP(A119,Macronutrients,7,FALSE)*E119+VLOOKUP(A122,Micronutrients,7,FALSE)*E122+VLOOKUP(A123,Micronutrients,7,FALSE)*E123+VLOOKUP(A124,Micronutrients,7,FALSE)*E124</f>
        <v>0</v>
      </c>
      <c r="K120" s="590">
        <f>VLOOKUP($A117,Macronutrients,6,FALSE)*$E$6+VLOOKUP($A118,Macronutrients,6,FALSE)*$E$7+VLOOKUP($A119,Macronutrients,6,FALSE)*$E$8+VLOOKUP($A122,Micronutrients,6,FALSE)*$E$11+VLOOKUP($A123,Micronutrients,6,FALSE)*E123+VLOOKUP($A124,Micronutrients,6,FALSE)*$E$13</f>
        <v>0</v>
      </c>
      <c r="L120" s="732"/>
      <c r="M120" s="595"/>
      <c r="N120" s="38"/>
      <c r="O120" s="586"/>
      <c r="P120" s="588"/>
      <c r="Q120" s="111"/>
      <c r="R120" s="588"/>
      <c r="S120" s="736"/>
      <c r="T120" s="2"/>
      <c r="U120" s="589">
        <f>VLOOKUP(M117,Macronutrients,5,FALSE)*Q117+VLOOKUP(M118,Macronutrients,5,FALSE)*Q118+VLOOKUP(M119,Macronutrients,5,FALSE)*Q119+VLOOKUP(M122,Micronutrients,5,FALSE)*Q122+VLOOKUP(M123,Micronutrients,5,FALSE)*Q123+VLOOKUP(M124,Micronutrients,5,FALSE)*Q124</f>
        <v>0</v>
      </c>
      <c r="V120" s="589">
        <f>VLOOKUP(M117,Macronutrients,7,FALSE)*Q117+VLOOKUP(M118,Macronutrients,7,FALSE)*Q118+VLOOKUP(M119,Macronutrients,7,FALSE)*Q119+VLOOKUP(M122,Micronutrients,7,FALSE)*Q122+VLOOKUP(M123,Micronutrients,7,FALSE)*Q123+VLOOKUP(M124,Micronutrients,7,FALSE)*Q124</f>
        <v>0</v>
      </c>
      <c r="W120" s="590">
        <f>VLOOKUP($A117,Macronutrients,6,FALSE)*$E$6+VLOOKUP($A118,Macronutrients,6,FALSE)*$E$7+VLOOKUP($A119,Macronutrients,6,FALSE)*$E$8+VLOOKUP($A122,Micronutrients,6,FALSE)*$E$11+VLOOKUP($A123,Micronutrients,6,FALSE)*Q123+VLOOKUP($A124,Micronutrients,6,FALSE)*$E$13</f>
        <v>0</v>
      </c>
      <c r="X120" s="1032"/>
      <c r="Y120" s="595"/>
      <c r="Z120" s="38"/>
      <c r="AA120" s="586"/>
      <c r="AB120" s="588"/>
      <c r="AC120" s="111"/>
      <c r="AD120" s="588"/>
      <c r="AE120" s="736"/>
      <c r="AF120" s="2"/>
      <c r="AG120" s="589">
        <f>VLOOKUP(Y117,Macronutrients,5,FALSE)*AC117+VLOOKUP(Y118,Macronutrients,5,FALSE)*AC118+VLOOKUP(Y119,Macronutrients,5,FALSE)*AC119+VLOOKUP(Y122,Micronutrients,5,FALSE)*AC122+VLOOKUP(Y123,Micronutrients,5,FALSE)*AC123+VLOOKUP(Y124,Micronutrients,5,FALSE)*AC124</f>
        <v>0</v>
      </c>
      <c r="AH120" s="589">
        <f>VLOOKUP(Y117,Macronutrients,7,FALSE)*AC117+VLOOKUP(Y118,Macronutrients,7,FALSE)*AC118+VLOOKUP(Y119,Macronutrients,7,FALSE)*AC119+VLOOKUP(Y122,Micronutrients,7,FALSE)*AC122+VLOOKUP(Y123,Micronutrients,7,FALSE)*AC123+VLOOKUP(Y124,Micronutrients,7,FALSE)*AC124</f>
        <v>0</v>
      </c>
      <c r="AI120" s="590">
        <f>VLOOKUP($A117,Macronutrients,6,FALSE)*$E$6+VLOOKUP($A118,Macronutrients,6,FALSE)*$E$7+VLOOKUP($A119,Macronutrients,6,FALSE)*$E$8+VLOOKUP($A122,Micronutrients,6,FALSE)*$E$11+VLOOKUP($A123,Micronutrients,6,FALSE)*AC123+VLOOKUP($A124,Micronutrients,6,FALSE)*$E$13</f>
        <v>0</v>
      </c>
    </row>
    <row r="121" spans="1:35" s="51" customFormat="1" ht="16.350000000000001" customHeight="1">
      <c r="A121" s="105" t="s">
        <v>501</v>
      </c>
      <c r="B121" s="821"/>
      <c r="C121" s="586"/>
      <c r="D121" s="821"/>
      <c r="E121" s="596"/>
      <c r="F121" s="48"/>
      <c r="G121" s="736"/>
      <c r="H121" s="2"/>
      <c r="I121" s="592"/>
      <c r="J121" s="592"/>
      <c r="K121" s="593"/>
      <c r="L121" s="732"/>
      <c r="M121" s="105" t="s">
        <v>501</v>
      </c>
      <c r="N121" s="821"/>
      <c r="O121" s="586"/>
      <c r="P121" s="821"/>
      <c r="Q121" s="596"/>
      <c r="R121" s="48"/>
      <c r="S121" s="736"/>
      <c r="T121" s="2"/>
      <c r="U121" s="592"/>
      <c r="V121" s="592"/>
      <c r="W121" s="593"/>
      <c r="X121" s="1032"/>
      <c r="Y121" s="105" t="s">
        <v>501</v>
      </c>
      <c r="Z121" s="821"/>
      <c r="AA121" s="586"/>
      <c r="AB121" s="821"/>
      <c r="AC121" s="596"/>
      <c r="AD121" s="48"/>
      <c r="AE121" s="736"/>
      <c r="AF121" s="2"/>
      <c r="AG121" s="592"/>
      <c r="AH121" s="592"/>
      <c r="AI121" s="593"/>
    </row>
    <row r="122" spans="1:35" s="51" customFormat="1" ht="16.350000000000001" customHeight="1">
      <c r="A122" s="584" t="s">
        <v>13</v>
      </c>
      <c r="B122" s="585">
        <f>VLOOKUP($A122,Micronutrients,14,FALSE)</f>
        <v>0</v>
      </c>
      <c r="C122" s="586">
        <f>VLOOKUP(A122,Micronutrients,18,FALSE)</f>
        <v>0</v>
      </c>
      <c r="D122" s="585">
        <f>VLOOKUP(A122,Micronutrients,16,FALSE)</f>
        <v>1</v>
      </c>
      <c r="E122" s="587">
        <v>0</v>
      </c>
      <c r="F122" s="588">
        <f>VLOOKUP(A122,Micronutrients,15,FALSE)</f>
        <v>0</v>
      </c>
      <c r="G122" s="736">
        <f>(E122*VLOOKUP(A122,Micronutrients,14,FALSE)/D122)*C122</f>
        <v>0</v>
      </c>
      <c r="H122" s="2"/>
      <c r="I122" s="607" t="s">
        <v>102</v>
      </c>
      <c r="J122" s="607" t="s">
        <v>103</v>
      </c>
      <c r="K122" s="608" t="s">
        <v>104</v>
      </c>
      <c r="L122" s="732"/>
      <c r="M122" s="584" t="s">
        <v>13</v>
      </c>
      <c r="N122" s="585">
        <f>VLOOKUP($A122,Micronutrients,14,FALSE)</f>
        <v>0</v>
      </c>
      <c r="O122" s="586">
        <f>VLOOKUP(M122,Micronutrients,18,FALSE)</f>
        <v>0</v>
      </c>
      <c r="P122" s="585">
        <f>VLOOKUP(M122,Micronutrients,16,FALSE)</f>
        <v>1</v>
      </c>
      <c r="Q122" s="587">
        <v>0</v>
      </c>
      <c r="R122" s="588">
        <f>VLOOKUP(M122,Micronutrients,15,FALSE)</f>
        <v>0</v>
      </c>
      <c r="S122" s="736">
        <f>(Q122*VLOOKUP(M122,Micronutrients,14,FALSE)/P122)*O122</f>
        <v>0</v>
      </c>
      <c r="T122" s="2"/>
      <c r="U122" s="607" t="s">
        <v>102</v>
      </c>
      <c r="V122" s="607" t="s">
        <v>103</v>
      </c>
      <c r="W122" s="608" t="s">
        <v>104</v>
      </c>
      <c r="X122" s="1032"/>
      <c r="Y122" s="584" t="s">
        <v>13</v>
      </c>
      <c r="Z122" s="585">
        <f>VLOOKUP($A122,Micronutrients,14,FALSE)</f>
        <v>0</v>
      </c>
      <c r="AA122" s="586">
        <f>VLOOKUP(Y122,Micronutrients,18,FALSE)</f>
        <v>0</v>
      </c>
      <c r="AB122" s="585">
        <f>VLOOKUP(Y122,Micronutrients,16,FALSE)</f>
        <v>1</v>
      </c>
      <c r="AC122" s="587">
        <v>0</v>
      </c>
      <c r="AD122" s="588">
        <f>VLOOKUP(Y122,Micronutrients,15,FALSE)</f>
        <v>0</v>
      </c>
      <c r="AE122" s="736">
        <f>(AC122*VLOOKUP(Y122,Micronutrients,14,FALSE)/AB122)*AA122</f>
        <v>0</v>
      </c>
      <c r="AF122" s="2"/>
      <c r="AG122" s="607" t="s">
        <v>102</v>
      </c>
      <c r="AH122" s="607" t="s">
        <v>103</v>
      </c>
      <c r="AI122" s="608" t="s">
        <v>104</v>
      </c>
    </row>
    <row r="123" spans="1:35" s="51" customFormat="1" ht="16.350000000000001" customHeight="1">
      <c r="A123" s="584" t="s">
        <v>13</v>
      </c>
      <c r="B123" s="585">
        <f>VLOOKUP($A123,Micronutrients,14,FALSE)</f>
        <v>0</v>
      </c>
      <c r="C123" s="586">
        <f>VLOOKUP(A123,Micronutrients,18,FALSE)</f>
        <v>0</v>
      </c>
      <c r="D123" s="585">
        <f>VLOOKUP(A123,Micronutrients,16,FALSE)</f>
        <v>1</v>
      </c>
      <c r="E123" s="587">
        <v>0</v>
      </c>
      <c r="F123" s="588">
        <f>VLOOKUP(A123,Micronutrients,15,FALSE)</f>
        <v>0</v>
      </c>
      <c r="G123" s="736">
        <f>(E123*VLOOKUP(A123,Micronutrients,14,FALSE)/D123)*C123</f>
        <v>0</v>
      </c>
      <c r="H123" s="2"/>
      <c r="I123" s="722">
        <f>VLOOKUP(A117,Macronutrients,8,FALSE)*E117+VLOOKUP(A118,Macronutrients,8,FALSE)*E118+VLOOKUP(A119,Macronutrients,8,FALSE)*E119+VLOOKUP(A122,Micronutrients,8,FALSE)*E122+VLOOKUP(A123,Micronutrients,8,FALSE)*E123+VLOOKUP(A124,Micronutrients,8,FALSE)*E124</f>
        <v>0</v>
      </c>
      <c r="J123" s="722">
        <f>VLOOKUP(A117,Macronutrients,9,FALSE)*E117+VLOOKUP(A118,Macronutrients,9,FALSE)*E118+VLOOKUP(A119,Macronutrients,9,FALSE)*E119+VLOOKUP(A122,Micronutrients,9,FALSE)*E122+VLOOKUP(A123,Micronutrients,9,FALSE)*E123+VLOOKUP(A124,Micronutrients,9,FALSE)*E124</f>
        <v>0</v>
      </c>
      <c r="K123" s="723">
        <f>VLOOKUP(A117,Macronutrients,10,FALSE)*E117+VLOOKUP(A118,Macronutrients,10,FALSE)*E118+VLOOKUP(A119,Macronutrients,10,FALSE)*E119+VLOOKUP(A122,Micronutrients,10,FALSE)*E122+VLOOKUP(A123,Micronutrients,10,FALSE)*E123+VLOOKUP(A124,Micronutrients,10,FALSE)*E124</f>
        <v>0</v>
      </c>
      <c r="L123" s="732"/>
      <c r="M123" s="584" t="s">
        <v>13</v>
      </c>
      <c r="N123" s="585">
        <f>VLOOKUP($A123,Micronutrients,14,FALSE)</f>
        <v>0</v>
      </c>
      <c r="O123" s="586">
        <f>VLOOKUP(M123,Micronutrients,18,FALSE)</f>
        <v>0</v>
      </c>
      <c r="P123" s="585">
        <f>VLOOKUP(M123,Micronutrients,16,FALSE)</f>
        <v>1</v>
      </c>
      <c r="Q123" s="587">
        <v>0</v>
      </c>
      <c r="R123" s="588">
        <f>VLOOKUP(M123,Micronutrients,15,FALSE)</f>
        <v>0</v>
      </c>
      <c r="S123" s="736">
        <f>(Q123*VLOOKUP(M123,Micronutrients,14,FALSE)/P123)*O123</f>
        <v>0</v>
      </c>
      <c r="T123" s="2"/>
      <c r="U123" s="722">
        <f>VLOOKUP(M117,Macronutrients,8,FALSE)*Q117+VLOOKUP(M118,Macronutrients,8,FALSE)*Q118+VLOOKUP(M119,Macronutrients,8,FALSE)*Q119+VLOOKUP(M122,Micronutrients,8,FALSE)*Q122+VLOOKUP(M123,Micronutrients,8,FALSE)*Q123+VLOOKUP(M124,Micronutrients,8,FALSE)*Q124</f>
        <v>0</v>
      </c>
      <c r="V123" s="722">
        <f>VLOOKUP(M117,Macronutrients,9,FALSE)*Q117+VLOOKUP(M118,Macronutrients,9,FALSE)*Q118+VLOOKUP(M119,Macronutrients,9,FALSE)*Q119+VLOOKUP(M122,Micronutrients,9,FALSE)*Q122+VLOOKUP(M123,Micronutrients,9,FALSE)*Q123+VLOOKUP(M124,Micronutrients,9,FALSE)*Q124</f>
        <v>0</v>
      </c>
      <c r="W123" s="723">
        <f>VLOOKUP(M117,Macronutrients,10,FALSE)*Q117+VLOOKUP(M118,Macronutrients,10,FALSE)*Q118+VLOOKUP(M119,Macronutrients,10,FALSE)*Q119+VLOOKUP(M122,Micronutrients,10,FALSE)*Q122+VLOOKUP(M123,Micronutrients,10,FALSE)*Q123+VLOOKUP(M124,Micronutrients,10,FALSE)*Q124</f>
        <v>0</v>
      </c>
      <c r="X123" s="1032"/>
      <c r="Y123" s="584" t="s">
        <v>13</v>
      </c>
      <c r="Z123" s="585">
        <f>VLOOKUP($A123,Micronutrients,14,FALSE)</f>
        <v>0</v>
      </c>
      <c r="AA123" s="586">
        <f>VLOOKUP(Y123,Micronutrients,18,FALSE)</f>
        <v>0</v>
      </c>
      <c r="AB123" s="585">
        <f>VLOOKUP(Y123,Micronutrients,16,FALSE)</f>
        <v>1</v>
      </c>
      <c r="AC123" s="587">
        <v>0</v>
      </c>
      <c r="AD123" s="588">
        <f>VLOOKUP(Y123,Micronutrients,15,FALSE)</f>
        <v>0</v>
      </c>
      <c r="AE123" s="736">
        <f>(AC123*VLOOKUP(Y123,Micronutrients,14,FALSE)/AB123)*AA123</f>
        <v>0</v>
      </c>
      <c r="AF123" s="2"/>
      <c r="AG123" s="722">
        <f>VLOOKUP(Y117,Macronutrients,8,FALSE)*AC117+VLOOKUP(Y118,Macronutrients,8,FALSE)*AC118+VLOOKUP(Y119,Macronutrients,8,FALSE)*AC119+VLOOKUP(Y122,Micronutrients,8,FALSE)*AC122+VLOOKUP(Y123,Micronutrients,8,FALSE)*AC123+VLOOKUP(Y124,Micronutrients,8,FALSE)*AC124</f>
        <v>0</v>
      </c>
      <c r="AH123" s="722">
        <f>VLOOKUP(Y117,Macronutrients,9,FALSE)*AC117+VLOOKUP(Y118,Macronutrients,9,FALSE)*AC118+VLOOKUP(Y119,Macronutrients,9,FALSE)*AC119+VLOOKUP(Y122,Micronutrients,9,FALSE)*AC122+VLOOKUP(Y123,Micronutrients,9,FALSE)*AC123+VLOOKUP(Y124,Micronutrients,9,FALSE)*AC124</f>
        <v>0</v>
      </c>
      <c r="AI123" s="723">
        <f>VLOOKUP(Y117,Macronutrients,10,FALSE)*AC117+VLOOKUP(Y118,Macronutrients,10,FALSE)*AC118+VLOOKUP(Y119,Macronutrients,10,FALSE)*AC119+VLOOKUP(Y122,Micronutrients,10,FALSE)*AC122+VLOOKUP(Y123,Micronutrients,10,FALSE)*AC123+VLOOKUP(Y124,Micronutrients,10,FALSE)*AC124</f>
        <v>0</v>
      </c>
    </row>
    <row r="124" spans="1:35" s="51" customFormat="1" ht="16.350000000000001" customHeight="1">
      <c r="A124" s="584" t="s">
        <v>13</v>
      </c>
      <c r="B124" s="585">
        <f>VLOOKUP($A124,Micronutrients,14,FALSE)</f>
        <v>0</v>
      </c>
      <c r="C124" s="586">
        <f>VLOOKUP(A124,Micronutrients,18,FALSE)</f>
        <v>0</v>
      </c>
      <c r="D124" s="585">
        <f>VLOOKUP(A124,Micronutrients,16,FALSE)</f>
        <v>1</v>
      </c>
      <c r="E124" s="587">
        <v>0</v>
      </c>
      <c r="F124" s="588">
        <f>VLOOKUP(A124,Micronutrients,15,FALSE)</f>
        <v>0</v>
      </c>
      <c r="G124" s="736">
        <f>(E124*VLOOKUP(A124,Micronutrients,14,FALSE)/D124)*C124</f>
        <v>0</v>
      </c>
      <c r="H124" s="2"/>
      <c r="I124" s="2"/>
      <c r="J124" s="2"/>
      <c r="K124" s="49"/>
      <c r="L124" s="732"/>
      <c r="M124" s="584" t="s">
        <v>13</v>
      </c>
      <c r="N124" s="585">
        <f>VLOOKUP($A124,Micronutrients,14,FALSE)</f>
        <v>0</v>
      </c>
      <c r="O124" s="586">
        <f>VLOOKUP(M124,Micronutrients,18,FALSE)</f>
        <v>0</v>
      </c>
      <c r="P124" s="585">
        <f>VLOOKUP(M124,Micronutrients,16,FALSE)</f>
        <v>1</v>
      </c>
      <c r="Q124" s="587">
        <v>0</v>
      </c>
      <c r="R124" s="588">
        <f>VLOOKUP(M124,Micronutrients,15,FALSE)</f>
        <v>0</v>
      </c>
      <c r="S124" s="736">
        <f>(Q124*VLOOKUP(M124,Micronutrients,14,FALSE)/P124)*O124</f>
        <v>0</v>
      </c>
      <c r="T124" s="2"/>
      <c r="U124" s="2"/>
      <c r="V124" s="2"/>
      <c r="W124" s="49"/>
      <c r="X124" s="1032"/>
      <c r="Y124" s="584" t="s">
        <v>13</v>
      </c>
      <c r="Z124" s="585">
        <f>VLOOKUP($A124,Micronutrients,14,FALSE)</f>
        <v>0</v>
      </c>
      <c r="AA124" s="586">
        <f>VLOOKUP(Y124,Micronutrients,18,FALSE)</f>
        <v>0</v>
      </c>
      <c r="AB124" s="585">
        <f>VLOOKUP(Y124,Micronutrients,16,FALSE)</f>
        <v>1</v>
      </c>
      <c r="AC124" s="587">
        <v>0</v>
      </c>
      <c r="AD124" s="588">
        <f>VLOOKUP(Y124,Micronutrients,15,FALSE)</f>
        <v>0</v>
      </c>
      <c r="AE124" s="736">
        <f>(AC124*VLOOKUP(Y124,Micronutrients,14,FALSE)/AB124)*AA124</f>
        <v>0</v>
      </c>
      <c r="AF124" s="2"/>
      <c r="AG124" s="2"/>
      <c r="AH124" s="2"/>
      <c r="AI124" s="49"/>
    </row>
    <row r="125" spans="1:35" s="51" customFormat="1" ht="16.350000000000001" customHeight="1">
      <c r="A125" s="595"/>
      <c r="B125" s="821"/>
      <c r="C125" s="586"/>
      <c r="D125" s="821"/>
      <c r="E125" s="596"/>
      <c r="F125" s="588"/>
      <c r="G125" s="736"/>
      <c r="H125" s="2"/>
      <c r="I125" s="607" t="s">
        <v>886</v>
      </c>
      <c r="J125" s="607" t="s">
        <v>887</v>
      </c>
      <c r="K125" s="608" t="s">
        <v>888</v>
      </c>
      <c r="L125" s="732"/>
      <c r="M125" s="595"/>
      <c r="N125" s="821"/>
      <c r="O125" s="586"/>
      <c r="P125" s="821"/>
      <c r="Q125" s="596"/>
      <c r="R125" s="588"/>
      <c r="S125" s="736"/>
      <c r="T125" s="2"/>
      <c r="U125" s="607" t="s">
        <v>886</v>
      </c>
      <c r="V125" s="607" t="s">
        <v>887</v>
      </c>
      <c r="W125" s="608" t="s">
        <v>888</v>
      </c>
      <c r="X125" s="1032"/>
      <c r="Y125" s="595"/>
      <c r="Z125" s="821"/>
      <c r="AA125" s="586"/>
      <c r="AB125" s="821"/>
      <c r="AC125" s="596"/>
      <c r="AD125" s="588"/>
      <c r="AE125" s="736"/>
      <c r="AF125" s="2"/>
      <c r="AG125" s="607" t="s">
        <v>886</v>
      </c>
      <c r="AH125" s="607" t="s">
        <v>887</v>
      </c>
      <c r="AI125" s="608" t="s">
        <v>888</v>
      </c>
    </row>
    <row r="126" spans="1:35" s="51" customFormat="1" ht="16.350000000000001" customHeight="1">
      <c r="A126" s="595"/>
      <c r="B126" s="821"/>
      <c r="C126" s="586"/>
      <c r="D126" s="821"/>
      <c r="E126" s="596"/>
      <c r="F126" s="48"/>
      <c r="G126" s="736"/>
      <c r="H126" s="2"/>
      <c r="I126" s="722">
        <f>VLOOKUP(A117,Macronutrients,11,FALSE)*E117+VLOOKUP(A118,Macronutrients,11,FALSE)*E118+VLOOKUP(A119,Macronutrients,11,FALSE)*E119+VLOOKUP(A122,Micronutrients,11,FALSE)*E122+VLOOKUP(A123,Micronutrients,11,FALSE)*E123+VLOOKUP(A124,Micronutrients,11,FALSE)*E124</f>
        <v>0</v>
      </c>
      <c r="J126" s="722">
        <f>VLOOKUP(A117,Macronutrients,12,FALSE)*E117+VLOOKUP(A118,Macronutrients,12,FALSE)*E118+VLOOKUP(A119,Macronutrients,12,FALSE)*E119+VLOOKUP(A122,Micronutrients,12,FALSE)*E122+VLOOKUP(A123,Micronutrients,12,FALSE)*E123+VLOOKUP(A124,Micronutrients,12,FALSE)*E124</f>
        <v>0</v>
      </c>
      <c r="K126" s="723">
        <f>VLOOKUP(A117,Macronutrients,13,FALSE)*E117+VLOOKUP(A118,Macronutrients,13,FALSE)*E118+VLOOKUP(A119,Macronutrients,13,FALSE)*E119+VLOOKUP(A122,Micronutrients,13,FALSE)*E122+VLOOKUP(A123,Micronutrients,13,FALSE)*E123+VLOOKUP(A124,Micronutrients,13,FALSE)*E124</f>
        <v>0</v>
      </c>
      <c r="L126" s="732"/>
      <c r="M126" s="595"/>
      <c r="N126" s="821"/>
      <c r="O126" s="586"/>
      <c r="P126" s="821"/>
      <c r="Q126" s="596"/>
      <c r="R126" s="48"/>
      <c r="S126" s="736"/>
      <c r="T126" s="2"/>
      <c r="U126" s="722">
        <f>VLOOKUP(M117,Macronutrients,11,FALSE)*Q117+VLOOKUP(M118,Macronutrients,11,FALSE)*Q118+VLOOKUP(M119,Macronutrients,11,FALSE)*Q119+VLOOKUP(M122,Micronutrients,11,FALSE)*Q122+VLOOKUP(M123,Micronutrients,11,FALSE)*Q123+VLOOKUP(M124,Micronutrients,11,FALSE)*Q124</f>
        <v>0</v>
      </c>
      <c r="V126" s="722">
        <f>VLOOKUP(M117,Macronutrients,12,FALSE)*Q117+VLOOKUP(M118,Macronutrients,12,FALSE)*Q118+VLOOKUP(M119,Macronutrients,12,FALSE)*Q119+VLOOKUP(M122,Micronutrients,12,FALSE)*Q122+VLOOKUP(M123,Micronutrients,12,FALSE)*Q123+VLOOKUP(M124,Micronutrients,12,FALSE)*Q124</f>
        <v>0</v>
      </c>
      <c r="W126" s="723">
        <f>VLOOKUP(M117,Macronutrients,13,FALSE)*Q117+VLOOKUP(M118,Macronutrients,13,FALSE)*Q118+VLOOKUP(M119,Macronutrients,13,FALSE)*Q119+VLOOKUP(M122,Micronutrients,13,FALSE)*Q122+VLOOKUP(M123,Micronutrients,13,FALSE)*Q123+VLOOKUP(M124,Micronutrients,13,FALSE)*Q124</f>
        <v>0</v>
      </c>
      <c r="X126" s="1032"/>
      <c r="Y126" s="595"/>
      <c r="Z126" s="821"/>
      <c r="AA126" s="586"/>
      <c r="AB126" s="821"/>
      <c r="AC126" s="596"/>
      <c r="AD126" s="48"/>
      <c r="AE126" s="736"/>
      <c r="AF126" s="2"/>
      <c r="AG126" s="722">
        <f>VLOOKUP(Y117,Macronutrients,11,FALSE)*AC117+VLOOKUP(Y118,Macronutrients,11,FALSE)*AC118+VLOOKUP(Y119,Macronutrients,11,FALSE)*AC119+VLOOKUP(Y122,Micronutrients,11,FALSE)*AC122+VLOOKUP(Y123,Micronutrients,11,FALSE)*AC123+VLOOKUP(Y124,Micronutrients,11,FALSE)*AC124</f>
        <v>0</v>
      </c>
      <c r="AH126" s="722">
        <f>VLOOKUP(Y117,Macronutrients,12,FALSE)*AC117+VLOOKUP(Y118,Macronutrients,12,FALSE)*AC118+VLOOKUP(Y119,Macronutrients,12,FALSE)*AC119+VLOOKUP(Y122,Micronutrients,12,FALSE)*AC122+VLOOKUP(Y123,Micronutrients,12,FALSE)*AC123+VLOOKUP(Y124,Micronutrients,12,FALSE)*AC124</f>
        <v>0</v>
      </c>
      <c r="AI126" s="723">
        <f>VLOOKUP(Y117,Macronutrients,13,FALSE)*AC117+VLOOKUP(Y118,Macronutrients,13,FALSE)*AC118+VLOOKUP(Y119,Macronutrients,13,FALSE)*AC119+VLOOKUP(Y122,Micronutrients,13,FALSE)*AC122+VLOOKUP(Y123,Micronutrients,13,FALSE)*AC123+VLOOKUP(Y124,Micronutrients,13,FALSE)*AC124</f>
        <v>0</v>
      </c>
    </row>
    <row r="127" spans="1:35" s="51" customFormat="1" ht="16.350000000000001" customHeight="1">
      <c r="A127" s="105" t="s">
        <v>425</v>
      </c>
      <c r="B127" s="822"/>
      <c r="C127" s="823"/>
      <c r="D127" s="822"/>
      <c r="E127" s="824"/>
      <c r="F127" s="106"/>
      <c r="G127" s="826"/>
      <c r="H127" s="2"/>
      <c r="I127" s="825"/>
      <c r="J127" s="825"/>
      <c r="K127" s="724"/>
      <c r="L127" s="732"/>
      <c r="M127" s="105" t="s">
        <v>425</v>
      </c>
      <c r="N127" s="822"/>
      <c r="O127" s="823"/>
      <c r="P127" s="822"/>
      <c r="Q127" s="824"/>
      <c r="R127" s="106"/>
      <c r="S127" s="826"/>
      <c r="T127" s="2"/>
      <c r="U127" s="825"/>
      <c r="V127" s="825"/>
      <c r="W127" s="724"/>
      <c r="X127" s="1032"/>
      <c r="Y127" s="105" t="s">
        <v>425</v>
      </c>
      <c r="Z127" s="822"/>
      <c r="AA127" s="823"/>
      <c r="AB127" s="822"/>
      <c r="AC127" s="824"/>
      <c r="AD127" s="106"/>
      <c r="AE127" s="826"/>
      <c r="AF127" s="2"/>
      <c r="AG127" s="825"/>
      <c r="AH127" s="825"/>
      <c r="AI127" s="724"/>
    </row>
    <row r="128" spans="1:35" s="51" customFormat="1" ht="16.350000000000001" customHeight="1">
      <c r="A128" s="358" t="s">
        <v>13</v>
      </c>
      <c r="B128" s="585">
        <f>VLOOKUP(A128,NitrogenStabilizers,14,FALSE)</f>
        <v>0</v>
      </c>
      <c r="C128" s="586">
        <f>VLOOKUP(A128,NitrogenStabilizers,15,FALSE)</f>
        <v>0</v>
      </c>
      <c r="D128" s="585">
        <f>VLOOKUP(A128,NitrogenStabilizers,16,FALSE)</f>
        <v>1</v>
      </c>
      <c r="E128" s="587">
        <v>0</v>
      </c>
      <c r="F128" s="588">
        <f>VLOOKUP(A128,NitrogenStabilizers,15,FALSE)</f>
        <v>0</v>
      </c>
      <c r="G128" s="736">
        <f>(E128*VLOOKUP(A128,NitrogenStabilizers,14,FALSE)/D128)*C128</f>
        <v>0</v>
      </c>
      <c r="H128" s="2"/>
      <c r="I128" s="2"/>
      <c r="J128" s="2"/>
      <c r="K128" s="598" t="s">
        <v>255</v>
      </c>
      <c r="L128" s="732"/>
      <c r="M128" s="358" t="s">
        <v>13</v>
      </c>
      <c r="N128" s="585">
        <f>VLOOKUP(M128,NitrogenStabilizers,14,FALSE)</f>
        <v>0</v>
      </c>
      <c r="O128" s="586">
        <f>VLOOKUP(M128,NitrogenStabilizers,15,FALSE)</f>
        <v>0</v>
      </c>
      <c r="P128" s="585">
        <f>VLOOKUP(M128,NitrogenStabilizers,16,FALSE)</f>
        <v>1</v>
      </c>
      <c r="Q128" s="587">
        <v>0</v>
      </c>
      <c r="R128" s="588">
        <f>VLOOKUP(M128,NitrogenStabilizers,15,FALSE)</f>
        <v>0</v>
      </c>
      <c r="S128" s="736">
        <f>(Q128*VLOOKUP(M128,NitrogenStabilizers,14,FALSE)/P128)*O128</f>
        <v>0</v>
      </c>
      <c r="T128" s="2"/>
      <c r="U128" s="2"/>
      <c r="V128" s="2"/>
      <c r="W128" s="598" t="s">
        <v>255</v>
      </c>
      <c r="X128" s="1032"/>
      <c r="Y128" s="358" t="s">
        <v>13</v>
      </c>
      <c r="Z128" s="585">
        <f>VLOOKUP(Y128,NitrogenStabilizers,14,FALSE)</f>
        <v>0</v>
      </c>
      <c r="AA128" s="586">
        <f>VLOOKUP(Y128,NitrogenStabilizers,15,FALSE)</f>
        <v>0</v>
      </c>
      <c r="AB128" s="585">
        <f>VLOOKUP(Y128,NitrogenStabilizers,16,FALSE)</f>
        <v>1</v>
      </c>
      <c r="AC128" s="587">
        <v>0</v>
      </c>
      <c r="AD128" s="588">
        <f>VLOOKUP(Y128,NitrogenStabilizers,15,FALSE)</f>
        <v>0</v>
      </c>
      <c r="AE128" s="736">
        <f>(AC128*VLOOKUP(Y128,NitrogenStabilizers,14,FALSE)/AB128)*AA128</f>
        <v>0</v>
      </c>
      <c r="AF128" s="2"/>
      <c r="AG128" s="2"/>
      <c r="AH128" s="2"/>
      <c r="AI128" s="598" t="s">
        <v>255</v>
      </c>
    </row>
    <row r="129" spans="1:35" s="51" customFormat="1" ht="16.350000000000001" customHeight="1" thickBot="1">
      <c r="A129" s="599" t="s">
        <v>127</v>
      </c>
      <c r="B129" s="600"/>
      <c r="C129" s="600"/>
      <c r="D129" s="600"/>
      <c r="E129" s="601"/>
      <c r="F129" s="600"/>
      <c r="G129" s="602">
        <f>SUM(G117:G128)</f>
        <v>0</v>
      </c>
      <c r="H129" s="2"/>
      <c r="I129" s="2"/>
      <c r="J129" s="2"/>
      <c r="K129" s="598" t="s">
        <v>256</v>
      </c>
      <c r="L129" s="732"/>
      <c r="M129" s="599" t="s">
        <v>127</v>
      </c>
      <c r="N129" s="600"/>
      <c r="O129" s="600"/>
      <c r="P129" s="600"/>
      <c r="Q129" s="601"/>
      <c r="R129" s="600"/>
      <c r="S129" s="602">
        <f>SUM(S117:S128)</f>
        <v>0</v>
      </c>
      <c r="T129" s="2"/>
      <c r="U129" s="2"/>
      <c r="V129" s="2"/>
      <c r="W129" s="598" t="s">
        <v>256</v>
      </c>
      <c r="X129" s="1032"/>
      <c r="Y129" s="599" t="s">
        <v>127</v>
      </c>
      <c r="Z129" s="600"/>
      <c r="AA129" s="600"/>
      <c r="AB129" s="600"/>
      <c r="AC129" s="601"/>
      <c r="AD129" s="600"/>
      <c r="AE129" s="602">
        <f>SUM(AE117:AE128)</f>
        <v>0</v>
      </c>
      <c r="AF129" s="2"/>
      <c r="AG129" s="2"/>
      <c r="AH129" s="2"/>
      <c r="AI129" s="598" t="s">
        <v>256</v>
      </c>
    </row>
    <row r="130" spans="1:35" s="51" customFormat="1" ht="16.350000000000001" customHeight="1" thickTop="1">
      <c r="A130" s="545"/>
      <c r="B130" s="118"/>
      <c r="C130" s="118"/>
      <c r="D130" s="118"/>
      <c r="E130" s="118"/>
      <c r="F130" s="118"/>
      <c r="G130" s="116"/>
      <c r="H130" s="2"/>
      <c r="I130" s="2"/>
      <c r="J130" s="2"/>
      <c r="K130" s="603" t="s">
        <v>254</v>
      </c>
      <c r="L130" s="732"/>
      <c r="M130" s="545"/>
      <c r="N130" s="118"/>
      <c r="O130" s="118"/>
      <c r="P130" s="118"/>
      <c r="Q130" s="118"/>
      <c r="R130" s="118"/>
      <c r="S130" s="116"/>
      <c r="T130" s="2"/>
      <c r="U130" s="2"/>
      <c r="V130" s="2"/>
      <c r="W130" s="603" t="s">
        <v>254</v>
      </c>
      <c r="X130" s="1032"/>
      <c r="Y130" s="545"/>
      <c r="Z130" s="118"/>
      <c r="AA130" s="118"/>
      <c r="AB130" s="118"/>
      <c r="AC130" s="118"/>
      <c r="AD130" s="118"/>
      <c r="AE130" s="116"/>
      <c r="AF130" s="2"/>
      <c r="AG130" s="2"/>
      <c r="AH130" s="2"/>
      <c r="AI130" s="603" t="s">
        <v>254</v>
      </c>
    </row>
    <row r="131" spans="1:35" s="51" customFormat="1" ht="16.350000000000001" customHeight="1" thickBot="1">
      <c r="A131" s="24"/>
      <c r="B131" s="97"/>
      <c r="C131" s="97"/>
      <c r="D131" s="97"/>
      <c r="E131" s="97"/>
      <c r="F131" s="97"/>
      <c r="G131" s="97"/>
      <c r="H131" s="97"/>
      <c r="I131" s="97"/>
      <c r="J131" s="97"/>
      <c r="K131" s="604"/>
      <c r="L131" s="732"/>
      <c r="M131" s="24"/>
      <c r="N131" s="97"/>
      <c r="O131" s="97"/>
      <c r="P131" s="97"/>
      <c r="Q131" s="97"/>
      <c r="R131" s="97"/>
      <c r="S131" s="97"/>
      <c r="T131" s="97"/>
      <c r="U131" s="97"/>
      <c r="V131" s="97"/>
      <c r="W131" s="604"/>
      <c r="X131" s="1032"/>
      <c r="Y131" s="24"/>
      <c r="Z131" s="97"/>
      <c r="AA131" s="97"/>
      <c r="AB131" s="97"/>
      <c r="AC131" s="97"/>
      <c r="AD131" s="97"/>
      <c r="AE131" s="97"/>
      <c r="AF131" s="97"/>
      <c r="AG131" s="97"/>
      <c r="AH131" s="97"/>
      <c r="AI131" s="604"/>
    </row>
    <row r="132" spans="1:35" s="51" customFormat="1" ht="16.350000000000001" customHeight="1" thickBot="1">
      <c r="A132" s="1026" t="s">
        <v>944</v>
      </c>
      <c r="B132" s="1027"/>
      <c r="C132" s="1027"/>
      <c r="D132" s="1027"/>
      <c r="E132" s="1027"/>
      <c r="F132" s="1027"/>
      <c r="G132" s="1027"/>
      <c r="H132" s="1027"/>
      <c r="I132" s="1027"/>
      <c r="J132" s="1027"/>
      <c r="K132" s="1028"/>
      <c r="L132" s="732"/>
      <c r="M132" s="1026" t="s">
        <v>944</v>
      </c>
      <c r="N132" s="1027"/>
      <c r="O132" s="1027"/>
      <c r="P132" s="1027"/>
      <c r="Q132" s="1027"/>
      <c r="R132" s="1027"/>
      <c r="S132" s="1027"/>
      <c r="T132" s="1027"/>
      <c r="U132" s="1027"/>
      <c r="V132" s="1027"/>
      <c r="W132" s="1028"/>
      <c r="X132" s="1032"/>
      <c r="Y132" s="1026" t="s">
        <v>944</v>
      </c>
      <c r="Z132" s="1027"/>
      <c r="AA132" s="1027"/>
      <c r="AB132" s="1027"/>
      <c r="AC132" s="1027"/>
      <c r="AD132" s="1027"/>
      <c r="AE132" s="1027"/>
      <c r="AF132" s="1027"/>
      <c r="AG132" s="1027"/>
      <c r="AH132" s="1027"/>
      <c r="AI132" s="1028"/>
    </row>
    <row r="133" spans="1:35" s="51" customFormat="1" ht="16.350000000000001" customHeight="1">
      <c r="A133" s="810" t="s">
        <v>126</v>
      </c>
      <c r="B133" s="811" t="s">
        <v>106</v>
      </c>
      <c r="C133" s="812" t="s">
        <v>107</v>
      </c>
      <c r="D133" s="813" t="s">
        <v>12</v>
      </c>
      <c r="E133" s="813" t="s">
        <v>108</v>
      </c>
      <c r="F133" s="811" t="s">
        <v>11</v>
      </c>
      <c r="G133" s="813" t="s">
        <v>109</v>
      </c>
      <c r="H133" s="814"/>
      <c r="I133" s="814"/>
      <c r="J133" s="814"/>
      <c r="K133" s="815"/>
      <c r="L133" s="732"/>
      <c r="M133" s="810" t="s">
        <v>126</v>
      </c>
      <c r="N133" s="811" t="s">
        <v>106</v>
      </c>
      <c r="O133" s="812" t="s">
        <v>107</v>
      </c>
      <c r="P133" s="813" t="s">
        <v>12</v>
      </c>
      <c r="Q133" s="813" t="s">
        <v>108</v>
      </c>
      <c r="R133" s="811" t="s">
        <v>11</v>
      </c>
      <c r="S133" s="813" t="s">
        <v>109</v>
      </c>
      <c r="T133" s="814"/>
      <c r="U133" s="814"/>
      <c r="V133" s="814"/>
      <c r="W133" s="815"/>
      <c r="X133" s="1032"/>
      <c r="Y133" s="810" t="s">
        <v>126</v>
      </c>
      <c r="Z133" s="811" t="s">
        <v>106</v>
      </c>
      <c r="AA133" s="812" t="s">
        <v>107</v>
      </c>
      <c r="AB133" s="813" t="s">
        <v>12</v>
      </c>
      <c r="AC133" s="813" t="s">
        <v>108</v>
      </c>
      <c r="AD133" s="811" t="s">
        <v>11</v>
      </c>
      <c r="AE133" s="813" t="s">
        <v>109</v>
      </c>
      <c r="AF133" s="814"/>
      <c r="AG133" s="814"/>
      <c r="AH133" s="814"/>
      <c r="AI133" s="815"/>
    </row>
    <row r="134" spans="1:35" s="51" customFormat="1" ht="16.350000000000001" customHeight="1">
      <c r="A134" s="105" t="s">
        <v>500</v>
      </c>
      <c r="B134" s="48"/>
      <c r="C134" s="820"/>
      <c r="D134" s="36"/>
      <c r="E134" s="45" t="s">
        <v>128</v>
      </c>
      <c r="F134" s="41"/>
      <c r="G134" s="38"/>
      <c r="H134" s="2"/>
      <c r="I134" s="607" t="s">
        <v>96</v>
      </c>
      <c r="J134" s="607" t="s">
        <v>97</v>
      </c>
      <c r="K134" s="608" t="s">
        <v>98</v>
      </c>
      <c r="L134" s="732"/>
      <c r="M134" s="105" t="s">
        <v>500</v>
      </c>
      <c r="N134" s="48"/>
      <c r="O134" s="820"/>
      <c r="P134" s="36"/>
      <c r="Q134" s="45" t="s">
        <v>128</v>
      </c>
      <c r="R134" s="41"/>
      <c r="S134" s="38"/>
      <c r="T134" s="2"/>
      <c r="U134" s="607" t="s">
        <v>96</v>
      </c>
      <c r="V134" s="607" t="s">
        <v>97</v>
      </c>
      <c r="W134" s="608" t="s">
        <v>98</v>
      </c>
      <c r="X134" s="1032"/>
      <c r="Y134" s="105" t="s">
        <v>500</v>
      </c>
      <c r="Z134" s="48"/>
      <c r="AA134" s="820"/>
      <c r="AB134" s="36"/>
      <c r="AC134" s="45" t="s">
        <v>128</v>
      </c>
      <c r="AD134" s="41"/>
      <c r="AE134" s="38"/>
      <c r="AF134" s="2"/>
      <c r="AG134" s="607" t="s">
        <v>96</v>
      </c>
      <c r="AH134" s="607" t="s">
        <v>97</v>
      </c>
      <c r="AI134" s="608" t="s">
        <v>98</v>
      </c>
    </row>
    <row r="135" spans="1:35" s="51" customFormat="1" ht="16.350000000000001" customHeight="1">
      <c r="A135" s="584" t="s">
        <v>13</v>
      </c>
      <c r="B135" s="585">
        <f t="shared" ref="B135:B137" si="105">VLOOKUP(A135,Macronutrients,14,FALSE)</f>
        <v>0</v>
      </c>
      <c r="C135" s="586">
        <f t="shared" ref="C135:C137" si="106">VLOOKUP(A135,Macronutrients,18,FALSE)</f>
        <v>0</v>
      </c>
      <c r="D135" s="585">
        <f t="shared" ref="D135:D137" si="107">VLOOKUP(A135,Macronutrients,16,FALSE)</f>
        <v>1</v>
      </c>
      <c r="E135" s="587">
        <v>0</v>
      </c>
      <c r="F135" s="588">
        <f t="shared" ref="F135:F137" si="108">VLOOKUP(A135,Macronutrients,15,FALSE)</f>
        <v>0</v>
      </c>
      <c r="G135" s="736">
        <f t="shared" ref="G135:G137" si="109">(E135*VLOOKUP(A135,Macronutrients,14,FALSE)/D135)*C135</f>
        <v>0</v>
      </c>
      <c r="H135" s="2"/>
      <c r="I135" s="725">
        <f>VLOOKUP(A135,Macronutrients,2,FALSE)*E135+VLOOKUP(A136,Macronutrients,2,FALSE)*E136+VLOOKUP(A137,Macronutrients,2,FALSE)*E137+VLOOKUP(A140,Micronutrients,2,FALSE)*E140+VLOOKUP(A141,Micronutrients,2,FALSE)*E141+VLOOKUP(A142,Micronutrients,2,FALSE)*E142</f>
        <v>0</v>
      </c>
      <c r="J135" s="589">
        <f>VLOOKUP(A135,Macronutrients,3,FALSE)*E135+VLOOKUP(A136,Macronutrients,3,FALSE)*E136+VLOOKUP(A137,Macronutrients,3,FALSE)*E137+VLOOKUP(A140,Micronutrients,3,FALSE)*E140+VLOOKUP(A141,Micronutrients,3,FALSE)*E141+VLOOKUP(A142,Micronutrients,3,FALSE)*E142</f>
        <v>0</v>
      </c>
      <c r="K135" s="590">
        <f>VLOOKUP(A135,Macronutrients,4,FALSE)*E135+VLOOKUP(A136,Macronutrients,4,FALSE)*E136+VLOOKUP(A137,Macronutrients,4,FALSE)*E137+VLOOKUP(A140,Micronutrients,4,FALSE)*E140+VLOOKUP(A141,Micronutrients,4,FALSE)*E141+VLOOKUP(A142,Micronutrients,4,FALSE)*E142</f>
        <v>0</v>
      </c>
      <c r="L135" s="732"/>
      <c r="M135" s="584" t="s">
        <v>13</v>
      </c>
      <c r="N135" s="585">
        <f t="shared" ref="N135:N137" si="110">VLOOKUP(M135,Macronutrients,14,FALSE)</f>
        <v>0</v>
      </c>
      <c r="O135" s="586">
        <f t="shared" ref="O135:O137" si="111">VLOOKUP(M135,Macronutrients,18,FALSE)</f>
        <v>0</v>
      </c>
      <c r="P135" s="585">
        <f t="shared" ref="P135:P137" si="112">VLOOKUP(M135,Macronutrients,16,FALSE)</f>
        <v>1</v>
      </c>
      <c r="Q135" s="587">
        <v>0</v>
      </c>
      <c r="R135" s="588">
        <f t="shared" ref="R135:R137" si="113">VLOOKUP(M135,Macronutrients,15,FALSE)</f>
        <v>0</v>
      </c>
      <c r="S135" s="736">
        <f t="shared" ref="S135:S137" si="114">(Q135*VLOOKUP(M135,Macronutrients,14,FALSE)/P135)*O135</f>
        <v>0</v>
      </c>
      <c r="T135" s="2"/>
      <c r="U135" s="725">
        <f>VLOOKUP(M135,Macronutrients,2,FALSE)*Q135+VLOOKUP(M136,Macronutrients,2,FALSE)*Q136+VLOOKUP(M137,Macronutrients,2,FALSE)*Q137+VLOOKUP(M140,Micronutrients,2,FALSE)*Q140+VLOOKUP(M141,Micronutrients,2,FALSE)*Q141+VLOOKUP(M142,Micronutrients,2,FALSE)*Q142</f>
        <v>0</v>
      </c>
      <c r="V135" s="589">
        <f>VLOOKUP(M135,Macronutrients,3,FALSE)*Q135+VLOOKUP(M136,Macronutrients,3,FALSE)*Q136+VLOOKUP(M137,Macronutrients,3,FALSE)*Q137+VLOOKUP(M140,Micronutrients,3,FALSE)*Q140+VLOOKUP(M141,Micronutrients,3,FALSE)*Q141+VLOOKUP(M142,Micronutrients,3,FALSE)*Q142</f>
        <v>0</v>
      </c>
      <c r="W135" s="590">
        <f>VLOOKUP(M135,Macronutrients,4,FALSE)*Q135+VLOOKUP(M136,Macronutrients,4,FALSE)*Q136+VLOOKUP(M137,Macronutrients,4,FALSE)*Q137+VLOOKUP(M140,Micronutrients,4,FALSE)*Q140+VLOOKUP(M141,Micronutrients,4,FALSE)*Q141+VLOOKUP(M142,Micronutrients,4,FALSE)*Q142</f>
        <v>0</v>
      </c>
      <c r="X135" s="1032"/>
      <c r="Y135" s="584" t="s">
        <v>13</v>
      </c>
      <c r="Z135" s="585">
        <f t="shared" ref="Z135:Z137" si="115">VLOOKUP(Y135,Macronutrients,14,FALSE)</f>
        <v>0</v>
      </c>
      <c r="AA135" s="586">
        <f t="shared" ref="AA135:AA137" si="116">VLOOKUP(Y135,Macronutrients,18,FALSE)</f>
        <v>0</v>
      </c>
      <c r="AB135" s="585">
        <f t="shared" ref="AB135:AB137" si="117">VLOOKUP(Y135,Macronutrients,16,FALSE)</f>
        <v>1</v>
      </c>
      <c r="AC135" s="587">
        <v>0</v>
      </c>
      <c r="AD135" s="588">
        <f t="shared" ref="AD135:AD137" si="118">VLOOKUP(Y135,Macronutrients,15,FALSE)</f>
        <v>0</v>
      </c>
      <c r="AE135" s="736">
        <f t="shared" ref="AE135:AE137" si="119">(AC135*VLOOKUP(Y135,Macronutrients,14,FALSE)/AB135)*AA135</f>
        <v>0</v>
      </c>
      <c r="AF135" s="2"/>
      <c r="AG135" s="725">
        <f>VLOOKUP(Y135,Macronutrients,2,FALSE)*AC135+VLOOKUP(Y136,Macronutrients,2,FALSE)*AC136+VLOOKUP(Y137,Macronutrients,2,FALSE)*AC137+VLOOKUP(Y140,Micronutrients,2,FALSE)*AC140+VLOOKUP(Y141,Micronutrients,2,FALSE)*AC141+VLOOKUP(Y142,Micronutrients,2,FALSE)*AC142</f>
        <v>0</v>
      </c>
      <c r="AH135" s="589">
        <f>VLOOKUP(Y135,Macronutrients,3,FALSE)*AC135+VLOOKUP(Y136,Macronutrients,3,FALSE)*AC136+VLOOKUP(Y137,Macronutrients,3,FALSE)*AC137+VLOOKUP(Y140,Micronutrients,3,FALSE)*AC140+VLOOKUP(Y141,Micronutrients,3,FALSE)*AC141+VLOOKUP(Y142,Micronutrients,3,FALSE)*AC142</f>
        <v>0</v>
      </c>
      <c r="AI135" s="590">
        <f>VLOOKUP(Y135,Macronutrients,4,FALSE)*AC135+VLOOKUP(Y136,Macronutrients,4,FALSE)*AC136+VLOOKUP(Y137,Macronutrients,4,FALSE)*AC137+VLOOKUP(Y140,Micronutrients,4,FALSE)*AC140+VLOOKUP(Y141,Micronutrients,4,FALSE)*AC141+VLOOKUP(Y142,Micronutrients,4,FALSE)*AC142</f>
        <v>0</v>
      </c>
    </row>
    <row r="136" spans="1:35" s="51" customFormat="1" ht="16.350000000000001" customHeight="1">
      <c r="A136" s="584" t="s">
        <v>13</v>
      </c>
      <c r="B136" s="585">
        <f t="shared" si="105"/>
        <v>0</v>
      </c>
      <c r="C136" s="586">
        <f t="shared" si="106"/>
        <v>0</v>
      </c>
      <c r="D136" s="585">
        <f t="shared" si="107"/>
        <v>1</v>
      </c>
      <c r="E136" s="587">
        <v>0</v>
      </c>
      <c r="F136" s="588">
        <f t="shared" si="108"/>
        <v>0</v>
      </c>
      <c r="G136" s="736">
        <f t="shared" si="109"/>
        <v>0</v>
      </c>
      <c r="H136" s="2"/>
      <c r="I136" s="592"/>
      <c r="J136" s="592"/>
      <c r="K136" s="593"/>
      <c r="L136" s="732"/>
      <c r="M136" s="584" t="s">
        <v>13</v>
      </c>
      <c r="N136" s="585">
        <f t="shared" si="110"/>
        <v>0</v>
      </c>
      <c r="O136" s="586">
        <f t="shared" si="111"/>
        <v>0</v>
      </c>
      <c r="P136" s="585">
        <f t="shared" si="112"/>
        <v>1</v>
      </c>
      <c r="Q136" s="587">
        <v>0</v>
      </c>
      <c r="R136" s="588">
        <f t="shared" si="113"/>
        <v>0</v>
      </c>
      <c r="S136" s="736">
        <f t="shared" si="114"/>
        <v>0</v>
      </c>
      <c r="T136" s="2"/>
      <c r="U136" s="592"/>
      <c r="V136" s="592"/>
      <c r="W136" s="593"/>
      <c r="X136" s="1032"/>
      <c r="Y136" s="584" t="s">
        <v>13</v>
      </c>
      <c r="Z136" s="585">
        <f t="shared" si="115"/>
        <v>0</v>
      </c>
      <c r="AA136" s="586">
        <f t="shared" si="116"/>
        <v>0</v>
      </c>
      <c r="AB136" s="585">
        <f t="shared" si="117"/>
        <v>1</v>
      </c>
      <c r="AC136" s="587">
        <v>0</v>
      </c>
      <c r="AD136" s="588">
        <f t="shared" si="118"/>
        <v>0</v>
      </c>
      <c r="AE136" s="736">
        <f t="shared" si="119"/>
        <v>0</v>
      </c>
      <c r="AF136" s="2"/>
      <c r="AG136" s="592"/>
      <c r="AH136" s="592"/>
      <c r="AI136" s="593"/>
    </row>
    <row r="137" spans="1:35" s="51" customFormat="1" ht="16.350000000000001" customHeight="1">
      <c r="A137" s="584" t="s">
        <v>13</v>
      </c>
      <c r="B137" s="585">
        <f t="shared" si="105"/>
        <v>0</v>
      </c>
      <c r="C137" s="586">
        <f t="shared" si="106"/>
        <v>0</v>
      </c>
      <c r="D137" s="585">
        <f t="shared" si="107"/>
        <v>1</v>
      </c>
      <c r="E137" s="587">
        <v>0</v>
      </c>
      <c r="F137" s="588">
        <f t="shared" si="108"/>
        <v>0</v>
      </c>
      <c r="G137" s="736">
        <f t="shared" si="109"/>
        <v>0</v>
      </c>
      <c r="I137" s="607" t="s">
        <v>99</v>
      </c>
      <c r="J137" s="607" t="s">
        <v>100</v>
      </c>
      <c r="K137" s="608" t="s">
        <v>101</v>
      </c>
      <c r="L137" s="732"/>
      <c r="M137" s="584" t="s">
        <v>13</v>
      </c>
      <c r="N137" s="585">
        <f t="shared" si="110"/>
        <v>0</v>
      </c>
      <c r="O137" s="586">
        <f t="shared" si="111"/>
        <v>0</v>
      </c>
      <c r="P137" s="585">
        <f t="shared" si="112"/>
        <v>1</v>
      </c>
      <c r="Q137" s="587">
        <v>0</v>
      </c>
      <c r="R137" s="588">
        <f t="shared" si="113"/>
        <v>0</v>
      </c>
      <c r="S137" s="736">
        <f t="shared" si="114"/>
        <v>0</v>
      </c>
      <c r="U137" s="607" t="s">
        <v>99</v>
      </c>
      <c r="V137" s="607" t="s">
        <v>100</v>
      </c>
      <c r="W137" s="608" t="s">
        <v>101</v>
      </c>
      <c r="X137" s="1032"/>
      <c r="Y137" s="584" t="s">
        <v>13</v>
      </c>
      <c r="Z137" s="585">
        <f t="shared" si="115"/>
        <v>0</v>
      </c>
      <c r="AA137" s="586">
        <f t="shared" si="116"/>
        <v>0</v>
      </c>
      <c r="AB137" s="585">
        <f t="shared" si="117"/>
        <v>1</v>
      </c>
      <c r="AC137" s="587">
        <v>0</v>
      </c>
      <c r="AD137" s="588">
        <f t="shared" si="118"/>
        <v>0</v>
      </c>
      <c r="AE137" s="736">
        <f t="shared" si="119"/>
        <v>0</v>
      </c>
      <c r="AG137" s="607" t="s">
        <v>99</v>
      </c>
      <c r="AH137" s="607" t="s">
        <v>100</v>
      </c>
      <c r="AI137" s="608" t="s">
        <v>101</v>
      </c>
    </row>
    <row r="138" spans="1:35" s="51" customFormat="1" ht="16.350000000000001" customHeight="1">
      <c r="A138" s="595"/>
      <c r="B138" s="38"/>
      <c r="C138" s="586"/>
      <c r="D138" s="588"/>
      <c r="E138" s="111"/>
      <c r="F138" s="588"/>
      <c r="G138" s="736"/>
      <c r="H138" s="2"/>
      <c r="I138" s="589">
        <f>VLOOKUP(A135,Macronutrients,5,FALSE)*E135+VLOOKUP(A136,Macronutrients,5,FALSE)*E136+VLOOKUP(A137,Macronutrients,5,FALSE)*E137+VLOOKUP(A140,Micronutrients,5,FALSE)*E140+VLOOKUP(A141,Micronutrients,5,FALSE)*E141+VLOOKUP(A142,Micronutrients,5,FALSE)*E142</f>
        <v>0</v>
      </c>
      <c r="J138" s="589">
        <f>VLOOKUP(A135,Macronutrients,7,FALSE)*E135+VLOOKUP(A136,Macronutrients,7,FALSE)*E136+VLOOKUP(A137,Macronutrients,7,FALSE)*E137+VLOOKUP(A140,Micronutrients,7,FALSE)*E140+VLOOKUP(A141,Micronutrients,7,FALSE)*E141+VLOOKUP(A142,Micronutrients,7,FALSE)*E142</f>
        <v>0</v>
      </c>
      <c r="K138" s="590">
        <f>VLOOKUP($A135,Macronutrients,6,FALSE)*$E$6+VLOOKUP($A136,Macronutrients,6,FALSE)*$E$7+VLOOKUP($A137,Macronutrients,6,FALSE)*$E$8+VLOOKUP($A140,Micronutrients,6,FALSE)*$E$11+VLOOKUP($A141,Micronutrients,6,FALSE)*E141+VLOOKUP($A142,Micronutrients,6,FALSE)*$E$13</f>
        <v>0</v>
      </c>
      <c r="L138" s="732"/>
      <c r="M138" s="595"/>
      <c r="N138" s="38"/>
      <c r="O138" s="586"/>
      <c r="P138" s="588"/>
      <c r="Q138" s="111"/>
      <c r="R138" s="588"/>
      <c r="S138" s="736"/>
      <c r="T138" s="2"/>
      <c r="U138" s="589">
        <f>VLOOKUP(M135,Macronutrients,5,FALSE)*Q135+VLOOKUP(M136,Macronutrients,5,FALSE)*Q136+VLOOKUP(M137,Macronutrients,5,FALSE)*Q137+VLOOKUP(M140,Micronutrients,5,FALSE)*Q140+VLOOKUP(M141,Micronutrients,5,FALSE)*Q141+VLOOKUP(M142,Micronutrients,5,FALSE)*Q142</f>
        <v>0</v>
      </c>
      <c r="V138" s="589">
        <f>VLOOKUP(M135,Macronutrients,7,FALSE)*Q135+VLOOKUP(M136,Macronutrients,7,FALSE)*Q136+VLOOKUP(M137,Macronutrients,7,FALSE)*Q137+VLOOKUP(M140,Micronutrients,7,FALSE)*Q140+VLOOKUP(M141,Micronutrients,7,FALSE)*Q141+VLOOKUP(M142,Micronutrients,7,FALSE)*Q142</f>
        <v>0</v>
      </c>
      <c r="W138" s="590">
        <f>VLOOKUP($A135,Macronutrients,6,FALSE)*$E$6+VLOOKUP($A136,Macronutrients,6,FALSE)*$E$7+VLOOKUP($A137,Macronutrients,6,FALSE)*$E$8+VLOOKUP($A140,Micronutrients,6,FALSE)*$E$11+VLOOKUP($A141,Micronutrients,6,FALSE)*Q141+VLOOKUP($A142,Micronutrients,6,FALSE)*$E$13</f>
        <v>0</v>
      </c>
      <c r="X138" s="1032"/>
      <c r="Y138" s="595"/>
      <c r="Z138" s="38"/>
      <c r="AA138" s="586"/>
      <c r="AB138" s="588"/>
      <c r="AC138" s="111"/>
      <c r="AD138" s="588"/>
      <c r="AE138" s="736"/>
      <c r="AF138" s="2"/>
      <c r="AG138" s="589">
        <f>VLOOKUP(Y135,Macronutrients,5,FALSE)*AC135+VLOOKUP(Y136,Macronutrients,5,FALSE)*AC136+VLOOKUP(Y137,Macronutrients,5,FALSE)*AC137+VLOOKUP(Y140,Micronutrients,5,FALSE)*AC140+VLOOKUP(Y141,Micronutrients,5,FALSE)*AC141+VLOOKUP(Y142,Micronutrients,5,FALSE)*AC142</f>
        <v>0</v>
      </c>
      <c r="AH138" s="589">
        <f>VLOOKUP(Y135,Macronutrients,7,FALSE)*AC135+VLOOKUP(Y136,Macronutrients,7,FALSE)*AC136+VLOOKUP(Y137,Macronutrients,7,FALSE)*AC137+VLOOKUP(Y140,Micronutrients,7,FALSE)*AC140+VLOOKUP(Y141,Micronutrients,7,FALSE)*AC141+VLOOKUP(Y142,Micronutrients,7,FALSE)*AC142</f>
        <v>0</v>
      </c>
      <c r="AI138" s="590">
        <f>VLOOKUP($A135,Macronutrients,6,FALSE)*$E$6+VLOOKUP($A136,Macronutrients,6,FALSE)*$E$7+VLOOKUP($A137,Macronutrients,6,FALSE)*$E$8+VLOOKUP($A140,Micronutrients,6,FALSE)*$E$11+VLOOKUP($A141,Micronutrients,6,FALSE)*AC141+VLOOKUP($A142,Micronutrients,6,FALSE)*$E$13</f>
        <v>0</v>
      </c>
    </row>
    <row r="139" spans="1:35" s="51" customFormat="1" ht="16.350000000000001" customHeight="1">
      <c r="A139" s="105" t="s">
        <v>501</v>
      </c>
      <c r="B139" s="821"/>
      <c r="C139" s="586"/>
      <c r="D139" s="821"/>
      <c r="E139" s="596"/>
      <c r="F139" s="48"/>
      <c r="G139" s="736"/>
      <c r="H139" s="2"/>
      <c r="I139" s="592"/>
      <c r="J139" s="592"/>
      <c r="K139" s="593"/>
      <c r="L139" s="732"/>
      <c r="M139" s="105" t="s">
        <v>501</v>
      </c>
      <c r="N139" s="821"/>
      <c r="O139" s="586"/>
      <c r="P139" s="821"/>
      <c r="Q139" s="596"/>
      <c r="R139" s="48"/>
      <c r="S139" s="736"/>
      <c r="T139" s="2"/>
      <c r="U139" s="592"/>
      <c r="V139" s="592"/>
      <c r="W139" s="593"/>
      <c r="X139" s="1032"/>
      <c r="Y139" s="105" t="s">
        <v>501</v>
      </c>
      <c r="Z139" s="821"/>
      <c r="AA139" s="586"/>
      <c r="AB139" s="821"/>
      <c r="AC139" s="596"/>
      <c r="AD139" s="48"/>
      <c r="AE139" s="736"/>
      <c r="AF139" s="2"/>
      <c r="AG139" s="592"/>
      <c r="AH139" s="592"/>
      <c r="AI139" s="593"/>
    </row>
    <row r="140" spans="1:35" s="51" customFormat="1" ht="16.350000000000001" customHeight="1">
      <c r="A140" s="584" t="s">
        <v>13</v>
      </c>
      <c r="B140" s="585">
        <f>VLOOKUP($A140,Micronutrients,14,FALSE)</f>
        <v>0</v>
      </c>
      <c r="C140" s="586">
        <f>VLOOKUP(A140,Micronutrients,18,FALSE)</f>
        <v>0</v>
      </c>
      <c r="D140" s="585">
        <f>VLOOKUP(A140,Micronutrients,16,FALSE)</f>
        <v>1</v>
      </c>
      <c r="E140" s="587">
        <v>0</v>
      </c>
      <c r="F140" s="588">
        <f>VLOOKUP(A140,Micronutrients,15,FALSE)</f>
        <v>0</v>
      </c>
      <c r="G140" s="736">
        <f>(E140*VLOOKUP(A140,Micronutrients,14,FALSE)/D140)*C140</f>
        <v>0</v>
      </c>
      <c r="H140" s="2"/>
      <c r="I140" s="607" t="s">
        <v>102</v>
      </c>
      <c r="J140" s="607" t="s">
        <v>103</v>
      </c>
      <c r="K140" s="608" t="s">
        <v>104</v>
      </c>
      <c r="L140" s="732"/>
      <c r="M140" s="584" t="s">
        <v>13</v>
      </c>
      <c r="N140" s="585">
        <f>VLOOKUP($A140,Micronutrients,14,FALSE)</f>
        <v>0</v>
      </c>
      <c r="O140" s="586">
        <f>VLOOKUP(M140,Micronutrients,18,FALSE)</f>
        <v>0</v>
      </c>
      <c r="P140" s="585">
        <f>VLOOKUP(M140,Micronutrients,16,FALSE)</f>
        <v>1</v>
      </c>
      <c r="Q140" s="587">
        <v>0</v>
      </c>
      <c r="R140" s="588">
        <f>VLOOKUP(M140,Micronutrients,15,FALSE)</f>
        <v>0</v>
      </c>
      <c r="S140" s="736">
        <f>(Q140*VLOOKUP(M140,Micronutrients,14,FALSE)/P140)*O140</f>
        <v>0</v>
      </c>
      <c r="T140" s="2"/>
      <c r="U140" s="607" t="s">
        <v>102</v>
      </c>
      <c r="V140" s="607" t="s">
        <v>103</v>
      </c>
      <c r="W140" s="608" t="s">
        <v>104</v>
      </c>
      <c r="X140" s="1032"/>
      <c r="Y140" s="584" t="s">
        <v>13</v>
      </c>
      <c r="Z140" s="585">
        <f>VLOOKUP($A140,Micronutrients,14,FALSE)</f>
        <v>0</v>
      </c>
      <c r="AA140" s="586">
        <f>VLOOKUP(Y140,Micronutrients,18,FALSE)</f>
        <v>0</v>
      </c>
      <c r="AB140" s="585">
        <f>VLOOKUP(Y140,Micronutrients,16,FALSE)</f>
        <v>1</v>
      </c>
      <c r="AC140" s="587">
        <v>0</v>
      </c>
      <c r="AD140" s="588">
        <f>VLOOKUP(Y140,Micronutrients,15,FALSE)</f>
        <v>0</v>
      </c>
      <c r="AE140" s="736">
        <f>(AC140*VLOOKUP(Y140,Micronutrients,14,FALSE)/AB140)*AA140</f>
        <v>0</v>
      </c>
      <c r="AF140" s="2"/>
      <c r="AG140" s="607" t="s">
        <v>102</v>
      </c>
      <c r="AH140" s="607" t="s">
        <v>103</v>
      </c>
      <c r="AI140" s="608" t="s">
        <v>104</v>
      </c>
    </row>
    <row r="141" spans="1:35" s="51" customFormat="1" ht="16.350000000000001" customHeight="1">
      <c r="A141" s="584" t="s">
        <v>13</v>
      </c>
      <c r="B141" s="585">
        <f>VLOOKUP($A141,Micronutrients,14,FALSE)</f>
        <v>0</v>
      </c>
      <c r="C141" s="586">
        <f>VLOOKUP(A141,Micronutrients,18,FALSE)</f>
        <v>0</v>
      </c>
      <c r="D141" s="585">
        <f>VLOOKUP(A141,Micronutrients,16,FALSE)</f>
        <v>1</v>
      </c>
      <c r="E141" s="587">
        <v>0</v>
      </c>
      <c r="F141" s="588">
        <f>VLOOKUP(A141,Micronutrients,15,FALSE)</f>
        <v>0</v>
      </c>
      <c r="G141" s="736">
        <f>(E141*VLOOKUP(A141,Micronutrients,14,FALSE)/D141)*C141</f>
        <v>0</v>
      </c>
      <c r="H141" s="2"/>
      <c r="I141" s="722">
        <f>VLOOKUP(A135,Macronutrients,8,FALSE)*E135+VLOOKUP(A136,Macronutrients,8,FALSE)*E136+VLOOKUP(A137,Macronutrients,8,FALSE)*E137+VLOOKUP(A140,Micronutrients,8,FALSE)*E140+VLOOKUP(A141,Micronutrients,8,FALSE)*E141+VLOOKUP(A142,Micronutrients,8,FALSE)*E142</f>
        <v>0</v>
      </c>
      <c r="J141" s="722">
        <f>VLOOKUP(A135,Macronutrients,9,FALSE)*E135+VLOOKUP(A136,Macronutrients,9,FALSE)*E136+VLOOKUP(A137,Macronutrients,9,FALSE)*E137+VLOOKUP(A140,Micronutrients,9,FALSE)*E140+VLOOKUP(A141,Micronutrients,9,FALSE)*E141+VLOOKUP(A142,Micronutrients,9,FALSE)*E142</f>
        <v>0</v>
      </c>
      <c r="K141" s="723">
        <f>VLOOKUP(A135,Macronutrients,10,FALSE)*E135+VLOOKUP(A136,Macronutrients,10,FALSE)*E136+VLOOKUP(A137,Macronutrients,10,FALSE)*E137+VLOOKUP(A140,Micronutrients,10,FALSE)*E140+VLOOKUP(A141,Micronutrients,10,FALSE)*E141+VLOOKUP(A142,Micronutrients,10,FALSE)*E142</f>
        <v>0</v>
      </c>
      <c r="L141" s="732"/>
      <c r="M141" s="584" t="s">
        <v>13</v>
      </c>
      <c r="N141" s="585">
        <f>VLOOKUP($A141,Micronutrients,14,FALSE)</f>
        <v>0</v>
      </c>
      <c r="O141" s="586">
        <f>VLOOKUP(M141,Micronutrients,18,FALSE)</f>
        <v>0</v>
      </c>
      <c r="P141" s="585">
        <f>VLOOKUP(M141,Micronutrients,16,FALSE)</f>
        <v>1</v>
      </c>
      <c r="Q141" s="587">
        <v>0</v>
      </c>
      <c r="R141" s="588">
        <f>VLOOKUP(M141,Micronutrients,15,FALSE)</f>
        <v>0</v>
      </c>
      <c r="S141" s="736">
        <f>(Q141*VLOOKUP(M141,Micronutrients,14,FALSE)/P141)*O141</f>
        <v>0</v>
      </c>
      <c r="T141" s="2"/>
      <c r="U141" s="722">
        <f>VLOOKUP(M135,Macronutrients,8,FALSE)*Q135+VLOOKUP(M136,Macronutrients,8,FALSE)*Q136+VLOOKUP(M137,Macronutrients,8,FALSE)*Q137+VLOOKUP(M140,Micronutrients,8,FALSE)*Q140+VLOOKUP(M141,Micronutrients,8,FALSE)*Q141+VLOOKUP(M142,Micronutrients,8,FALSE)*Q142</f>
        <v>0</v>
      </c>
      <c r="V141" s="722">
        <f>VLOOKUP(M135,Macronutrients,9,FALSE)*Q135+VLOOKUP(M136,Macronutrients,9,FALSE)*Q136+VLOOKUP(M137,Macronutrients,9,FALSE)*Q137+VLOOKUP(M140,Micronutrients,9,FALSE)*Q140+VLOOKUP(M141,Micronutrients,9,FALSE)*Q141+VLOOKUP(M142,Micronutrients,9,FALSE)*Q142</f>
        <v>0</v>
      </c>
      <c r="W141" s="723">
        <f>VLOOKUP(M135,Macronutrients,10,FALSE)*Q135+VLOOKUP(M136,Macronutrients,10,FALSE)*Q136+VLOOKUP(M137,Macronutrients,10,FALSE)*Q137+VLOOKUP(M140,Micronutrients,10,FALSE)*Q140+VLOOKUP(M141,Micronutrients,10,FALSE)*Q141+VLOOKUP(M142,Micronutrients,10,FALSE)*Q142</f>
        <v>0</v>
      </c>
      <c r="X141" s="1032"/>
      <c r="Y141" s="584" t="s">
        <v>13</v>
      </c>
      <c r="Z141" s="585">
        <f>VLOOKUP($A141,Micronutrients,14,FALSE)</f>
        <v>0</v>
      </c>
      <c r="AA141" s="586">
        <f>VLOOKUP(Y141,Micronutrients,18,FALSE)</f>
        <v>0</v>
      </c>
      <c r="AB141" s="585">
        <f>VLOOKUP(Y141,Micronutrients,16,FALSE)</f>
        <v>1</v>
      </c>
      <c r="AC141" s="587">
        <v>0</v>
      </c>
      <c r="AD141" s="588">
        <f>VLOOKUP(Y141,Micronutrients,15,FALSE)</f>
        <v>0</v>
      </c>
      <c r="AE141" s="736">
        <f>(AC141*VLOOKUP(Y141,Micronutrients,14,FALSE)/AB141)*AA141</f>
        <v>0</v>
      </c>
      <c r="AF141" s="2"/>
      <c r="AG141" s="722">
        <f>VLOOKUP(Y135,Macronutrients,8,FALSE)*AC135+VLOOKUP(Y136,Macronutrients,8,FALSE)*AC136+VLOOKUP(Y137,Macronutrients,8,FALSE)*AC137+VLOOKUP(Y140,Micronutrients,8,FALSE)*AC140+VLOOKUP(Y141,Micronutrients,8,FALSE)*AC141+VLOOKUP(Y142,Micronutrients,8,FALSE)*AC142</f>
        <v>0</v>
      </c>
      <c r="AH141" s="722">
        <f>VLOOKUP(Y135,Macronutrients,9,FALSE)*AC135+VLOOKUP(Y136,Macronutrients,9,FALSE)*AC136+VLOOKUP(Y137,Macronutrients,9,FALSE)*AC137+VLOOKUP(Y140,Micronutrients,9,FALSE)*AC140+VLOOKUP(Y141,Micronutrients,9,FALSE)*AC141+VLOOKUP(Y142,Micronutrients,9,FALSE)*AC142</f>
        <v>0</v>
      </c>
      <c r="AI141" s="723">
        <f>VLOOKUP(Y135,Macronutrients,10,FALSE)*AC135+VLOOKUP(Y136,Macronutrients,10,FALSE)*AC136+VLOOKUP(Y137,Macronutrients,10,FALSE)*AC137+VLOOKUP(Y140,Micronutrients,10,FALSE)*AC140+VLOOKUP(Y141,Micronutrients,10,FALSE)*AC141+VLOOKUP(Y142,Micronutrients,10,FALSE)*AC142</f>
        <v>0</v>
      </c>
    </row>
    <row r="142" spans="1:35" s="51" customFormat="1" ht="16.350000000000001" customHeight="1">
      <c r="A142" s="584" t="s">
        <v>13</v>
      </c>
      <c r="B142" s="585">
        <f>VLOOKUP($A142,Micronutrients,14,FALSE)</f>
        <v>0</v>
      </c>
      <c r="C142" s="586">
        <f>VLOOKUP(A142,Micronutrients,18,FALSE)</f>
        <v>0</v>
      </c>
      <c r="D142" s="585">
        <f>VLOOKUP(A142,Micronutrients,16,FALSE)</f>
        <v>1</v>
      </c>
      <c r="E142" s="587">
        <v>0</v>
      </c>
      <c r="F142" s="588">
        <f>VLOOKUP(A142,Micronutrients,15,FALSE)</f>
        <v>0</v>
      </c>
      <c r="G142" s="736">
        <f>(E142*VLOOKUP(A142,Micronutrients,14,FALSE)/D142)*C142</f>
        <v>0</v>
      </c>
      <c r="H142" s="2"/>
      <c r="I142" s="2"/>
      <c r="J142" s="2"/>
      <c r="K142" s="49"/>
      <c r="L142" s="732"/>
      <c r="M142" s="584" t="s">
        <v>13</v>
      </c>
      <c r="N142" s="585">
        <f>VLOOKUP($A142,Micronutrients,14,FALSE)</f>
        <v>0</v>
      </c>
      <c r="O142" s="586">
        <f>VLOOKUP(M142,Micronutrients,18,FALSE)</f>
        <v>0</v>
      </c>
      <c r="P142" s="585">
        <f>VLOOKUP(M142,Micronutrients,16,FALSE)</f>
        <v>1</v>
      </c>
      <c r="Q142" s="587">
        <v>0</v>
      </c>
      <c r="R142" s="588">
        <f>VLOOKUP(M142,Micronutrients,15,FALSE)</f>
        <v>0</v>
      </c>
      <c r="S142" s="736">
        <f>(Q142*VLOOKUP(M142,Micronutrients,14,FALSE)/P142)*O142</f>
        <v>0</v>
      </c>
      <c r="T142" s="2"/>
      <c r="U142" s="2"/>
      <c r="V142" s="2"/>
      <c r="W142" s="49"/>
      <c r="X142" s="1032"/>
      <c r="Y142" s="584" t="s">
        <v>13</v>
      </c>
      <c r="Z142" s="585">
        <f>VLOOKUP($A142,Micronutrients,14,FALSE)</f>
        <v>0</v>
      </c>
      <c r="AA142" s="586">
        <f>VLOOKUP(Y142,Micronutrients,18,FALSE)</f>
        <v>0</v>
      </c>
      <c r="AB142" s="585">
        <f>VLOOKUP(Y142,Micronutrients,16,FALSE)</f>
        <v>1</v>
      </c>
      <c r="AC142" s="587">
        <v>0</v>
      </c>
      <c r="AD142" s="588">
        <f>VLOOKUP(Y142,Micronutrients,15,FALSE)</f>
        <v>0</v>
      </c>
      <c r="AE142" s="736">
        <f>(AC142*VLOOKUP(Y142,Micronutrients,14,FALSE)/AB142)*AA142</f>
        <v>0</v>
      </c>
      <c r="AF142" s="2"/>
      <c r="AG142" s="2"/>
      <c r="AH142" s="2"/>
      <c r="AI142" s="49"/>
    </row>
    <row r="143" spans="1:35" s="51" customFormat="1" ht="16.350000000000001" customHeight="1">
      <c r="A143" s="595"/>
      <c r="B143" s="821"/>
      <c r="C143" s="586"/>
      <c r="D143" s="821"/>
      <c r="E143" s="596"/>
      <c r="F143" s="588"/>
      <c r="G143" s="736"/>
      <c r="H143" s="2"/>
      <c r="I143" s="607" t="s">
        <v>886</v>
      </c>
      <c r="J143" s="607" t="s">
        <v>887</v>
      </c>
      <c r="K143" s="608" t="s">
        <v>888</v>
      </c>
      <c r="L143" s="732"/>
      <c r="M143" s="595"/>
      <c r="N143" s="821"/>
      <c r="O143" s="586"/>
      <c r="P143" s="821"/>
      <c r="Q143" s="596"/>
      <c r="R143" s="588"/>
      <c r="S143" s="736"/>
      <c r="T143" s="2"/>
      <c r="U143" s="607" t="s">
        <v>886</v>
      </c>
      <c r="V143" s="607" t="s">
        <v>887</v>
      </c>
      <c r="W143" s="608" t="s">
        <v>888</v>
      </c>
      <c r="X143" s="1032"/>
      <c r="Y143" s="595"/>
      <c r="Z143" s="821"/>
      <c r="AA143" s="586"/>
      <c r="AB143" s="821"/>
      <c r="AC143" s="596"/>
      <c r="AD143" s="588"/>
      <c r="AE143" s="736"/>
      <c r="AF143" s="2"/>
      <c r="AG143" s="607" t="s">
        <v>886</v>
      </c>
      <c r="AH143" s="607" t="s">
        <v>887</v>
      </c>
      <c r="AI143" s="608" t="s">
        <v>888</v>
      </c>
    </row>
    <row r="144" spans="1:35" s="51" customFormat="1" ht="16.350000000000001" customHeight="1">
      <c r="A144" s="595"/>
      <c r="B144" s="821"/>
      <c r="C144" s="586"/>
      <c r="D144" s="821"/>
      <c r="E144" s="596"/>
      <c r="F144" s="48"/>
      <c r="G144" s="736"/>
      <c r="H144" s="2"/>
      <c r="I144" s="722">
        <f>VLOOKUP(A135,Macronutrients,11,FALSE)*E135+VLOOKUP(A136,Macronutrients,11,FALSE)*E136+VLOOKUP(A137,Macronutrients,11,FALSE)*E137+VLOOKUP(A140,Micronutrients,11,FALSE)*E140+VLOOKUP(A141,Micronutrients,11,FALSE)*E141+VLOOKUP(A142,Micronutrients,11,FALSE)*E142</f>
        <v>0</v>
      </c>
      <c r="J144" s="722">
        <f>VLOOKUP(A135,Macronutrients,12,FALSE)*E135+VLOOKUP(A136,Macronutrients,12,FALSE)*E136+VLOOKUP(A137,Macronutrients,12,FALSE)*E137+VLOOKUP(A140,Micronutrients,12,FALSE)*E140+VLOOKUP(A141,Micronutrients,12,FALSE)*E141+VLOOKUP(A142,Micronutrients,12,FALSE)*E142</f>
        <v>0</v>
      </c>
      <c r="K144" s="723">
        <f>VLOOKUP(A135,Macronutrients,13,FALSE)*E135+VLOOKUP(A136,Macronutrients,13,FALSE)*E136+VLOOKUP(A137,Macronutrients,13,FALSE)*E137+VLOOKUP(A140,Micronutrients,13,FALSE)*E140+VLOOKUP(A141,Micronutrients,13,FALSE)*E141+VLOOKUP(A142,Micronutrients,13,FALSE)*E142</f>
        <v>0</v>
      </c>
      <c r="L144" s="732"/>
      <c r="M144" s="595"/>
      <c r="N144" s="821"/>
      <c r="O144" s="586"/>
      <c r="P144" s="821"/>
      <c r="Q144" s="596"/>
      <c r="R144" s="48"/>
      <c r="S144" s="736"/>
      <c r="T144" s="2"/>
      <c r="U144" s="722">
        <f>VLOOKUP(M135,Macronutrients,11,FALSE)*Q135+VLOOKUP(M136,Macronutrients,11,FALSE)*Q136+VLOOKUP(M137,Macronutrients,11,FALSE)*Q137+VLOOKUP(M140,Micronutrients,11,FALSE)*Q140+VLOOKUP(M141,Micronutrients,11,FALSE)*Q141+VLOOKUP(M142,Micronutrients,11,FALSE)*Q142</f>
        <v>0</v>
      </c>
      <c r="V144" s="722">
        <f>VLOOKUP(M135,Macronutrients,12,FALSE)*Q135+VLOOKUP(M136,Macronutrients,12,FALSE)*Q136+VLOOKUP(M137,Macronutrients,12,FALSE)*Q137+VLOOKUP(M140,Micronutrients,12,FALSE)*Q140+VLOOKUP(M141,Micronutrients,12,FALSE)*Q141+VLOOKUP(M142,Micronutrients,12,FALSE)*Q142</f>
        <v>0</v>
      </c>
      <c r="W144" s="723">
        <f>VLOOKUP(M135,Macronutrients,13,FALSE)*Q135+VLOOKUP(M136,Macronutrients,13,FALSE)*Q136+VLOOKUP(M137,Macronutrients,13,FALSE)*Q137+VLOOKUP(M140,Micronutrients,13,FALSE)*Q140+VLOOKUP(M141,Micronutrients,13,FALSE)*Q141+VLOOKUP(M142,Micronutrients,13,FALSE)*Q142</f>
        <v>0</v>
      </c>
      <c r="X144" s="1032"/>
      <c r="Y144" s="595"/>
      <c r="Z144" s="821"/>
      <c r="AA144" s="586"/>
      <c r="AB144" s="821"/>
      <c r="AC144" s="596"/>
      <c r="AD144" s="48"/>
      <c r="AE144" s="736"/>
      <c r="AF144" s="2"/>
      <c r="AG144" s="722">
        <f>VLOOKUP(Y135,Macronutrients,11,FALSE)*AC135+VLOOKUP(Y136,Macronutrients,11,FALSE)*AC136+VLOOKUP(Y137,Macronutrients,11,FALSE)*AC137+VLOOKUP(Y140,Micronutrients,11,FALSE)*AC140+VLOOKUP(Y141,Micronutrients,11,FALSE)*AC141+VLOOKUP(Y142,Micronutrients,11,FALSE)*AC142</f>
        <v>0</v>
      </c>
      <c r="AH144" s="722">
        <f>VLOOKUP(Y135,Macronutrients,12,FALSE)*AC135+VLOOKUP(Y136,Macronutrients,12,FALSE)*AC136+VLOOKUP(Y137,Macronutrients,12,FALSE)*AC137+VLOOKUP(Y140,Micronutrients,12,FALSE)*AC140+VLOOKUP(Y141,Micronutrients,12,FALSE)*AC141+VLOOKUP(Y142,Micronutrients,12,FALSE)*AC142</f>
        <v>0</v>
      </c>
      <c r="AI144" s="723">
        <f>VLOOKUP(Y135,Macronutrients,13,FALSE)*AC135+VLOOKUP(Y136,Macronutrients,13,FALSE)*AC136+VLOOKUP(Y137,Macronutrients,13,FALSE)*AC137+VLOOKUP(Y140,Micronutrients,13,FALSE)*AC140+VLOOKUP(Y141,Micronutrients,13,FALSE)*AC141+VLOOKUP(Y142,Micronutrients,13,FALSE)*AC142</f>
        <v>0</v>
      </c>
    </row>
    <row r="145" spans="1:35" s="51" customFormat="1" ht="16.350000000000001" customHeight="1">
      <c r="A145" s="105" t="s">
        <v>425</v>
      </c>
      <c r="B145" s="822"/>
      <c r="C145" s="823"/>
      <c r="D145" s="822"/>
      <c r="E145" s="824"/>
      <c r="F145" s="106"/>
      <c r="G145" s="826"/>
      <c r="H145" s="2"/>
      <c r="I145" s="825"/>
      <c r="J145" s="825"/>
      <c r="K145" s="724"/>
      <c r="L145" s="732"/>
      <c r="M145" s="105" t="s">
        <v>425</v>
      </c>
      <c r="N145" s="822"/>
      <c r="O145" s="823"/>
      <c r="P145" s="822"/>
      <c r="Q145" s="824"/>
      <c r="R145" s="106"/>
      <c r="S145" s="826"/>
      <c r="T145" s="2"/>
      <c r="U145" s="825"/>
      <c r="V145" s="825"/>
      <c r="W145" s="724"/>
      <c r="X145" s="1032"/>
      <c r="Y145" s="105" t="s">
        <v>425</v>
      </c>
      <c r="Z145" s="822"/>
      <c r="AA145" s="823"/>
      <c r="AB145" s="822"/>
      <c r="AC145" s="824"/>
      <c r="AD145" s="106"/>
      <c r="AE145" s="826"/>
      <c r="AF145" s="2"/>
      <c r="AG145" s="825"/>
      <c r="AH145" s="825"/>
      <c r="AI145" s="724"/>
    </row>
    <row r="146" spans="1:35" s="51" customFormat="1" ht="16.350000000000001" customHeight="1">
      <c r="A146" s="358" t="s">
        <v>13</v>
      </c>
      <c r="B146" s="585">
        <f>VLOOKUP(A146,NitrogenStabilizers,14,FALSE)</f>
        <v>0</v>
      </c>
      <c r="C146" s="586">
        <f>VLOOKUP(A146,NitrogenStabilizers,15,FALSE)</f>
        <v>0</v>
      </c>
      <c r="D146" s="585">
        <f>VLOOKUP(A146,NitrogenStabilizers,16,FALSE)</f>
        <v>1</v>
      </c>
      <c r="E146" s="587">
        <v>0</v>
      </c>
      <c r="F146" s="588">
        <f>VLOOKUP(A146,NitrogenStabilizers,15,FALSE)</f>
        <v>0</v>
      </c>
      <c r="G146" s="736">
        <f>(E146*VLOOKUP(A146,NitrogenStabilizers,14,FALSE)/D146)*C146</f>
        <v>0</v>
      </c>
      <c r="H146" s="2"/>
      <c r="I146" s="2"/>
      <c r="J146" s="2"/>
      <c r="K146" s="598" t="s">
        <v>255</v>
      </c>
      <c r="L146" s="732"/>
      <c r="M146" s="358" t="s">
        <v>13</v>
      </c>
      <c r="N146" s="585">
        <f>VLOOKUP(M146,NitrogenStabilizers,14,FALSE)</f>
        <v>0</v>
      </c>
      <c r="O146" s="586">
        <f>VLOOKUP(M146,NitrogenStabilizers,15,FALSE)</f>
        <v>0</v>
      </c>
      <c r="P146" s="585">
        <f>VLOOKUP(M146,NitrogenStabilizers,16,FALSE)</f>
        <v>1</v>
      </c>
      <c r="Q146" s="587">
        <v>0</v>
      </c>
      <c r="R146" s="588">
        <f>VLOOKUP(M146,NitrogenStabilizers,15,FALSE)</f>
        <v>0</v>
      </c>
      <c r="S146" s="736">
        <f>(Q146*VLOOKUP(M146,NitrogenStabilizers,14,FALSE)/P146)*O146</f>
        <v>0</v>
      </c>
      <c r="T146" s="2"/>
      <c r="U146" s="2"/>
      <c r="V146" s="2"/>
      <c r="W146" s="598" t="s">
        <v>255</v>
      </c>
      <c r="X146" s="1032"/>
      <c r="Y146" s="358" t="s">
        <v>13</v>
      </c>
      <c r="Z146" s="585">
        <f>VLOOKUP(Y146,NitrogenStabilizers,14,FALSE)</f>
        <v>0</v>
      </c>
      <c r="AA146" s="586">
        <f>VLOOKUP(Y146,NitrogenStabilizers,15,FALSE)</f>
        <v>0</v>
      </c>
      <c r="AB146" s="585">
        <f>VLOOKUP(Y146,NitrogenStabilizers,16,FALSE)</f>
        <v>1</v>
      </c>
      <c r="AC146" s="587">
        <v>0</v>
      </c>
      <c r="AD146" s="588">
        <f>VLOOKUP(Y146,NitrogenStabilizers,15,FALSE)</f>
        <v>0</v>
      </c>
      <c r="AE146" s="736">
        <f>(AC146*VLOOKUP(Y146,NitrogenStabilizers,14,FALSE)/AB146)*AA146</f>
        <v>0</v>
      </c>
      <c r="AF146" s="2"/>
      <c r="AG146" s="2"/>
      <c r="AH146" s="2"/>
      <c r="AI146" s="598" t="s">
        <v>255</v>
      </c>
    </row>
    <row r="147" spans="1:35" s="51" customFormat="1" ht="16.350000000000001" customHeight="1" thickBot="1">
      <c r="A147" s="599" t="s">
        <v>127</v>
      </c>
      <c r="B147" s="600"/>
      <c r="C147" s="600"/>
      <c r="D147" s="600"/>
      <c r="E147" s="601"/>
      <c r="F147" s="600"/>
      <c r="G147" s="602">
        <f>SUM(G135:G146)</f>
        <v>0</v>
      </c>
      <c r="H147" s="2"/>
      <c r="I147" s="2"/>
      <c r="J147" s="2"/>
      <c r="K147" s="598" t="s">
        <v>256</v>
      </c>
      <c r="L147" s="732"/>
      <c r="M147" s="599" t="s">
        <v>127</v>
      </c>
      <c r="N147" s="600"/>
      <c r="O147" s="600"/>
      <c r="P147" s="600"/>
      <c r="Q147" s="601"/>
      <c r="R147" s="600"/>
      <c r="S147" s="602">
        <f>SUM(S135:S146)</f>
        <v>0</v>
      </c>
      <c r="T147" s="2"/>
      <c r="U147" s="2"/>
      <c r="V147" s="2"/>
      <c r="W147" s="598" t="s">
        <v>256</v>
      </c>
      <c r="X147" s="1032"/>
      <c r="Y147" s="599" t="s">
        <v>127</v>
      </c>
      <c r="Z147" s="600"/>
      <c r="AA147" s="600"/>
      <c r="AB147" s="600"/>
      <c r="AC147" s="601"/>
      <c r="AD147" s="600"/>
      <c r="AE147" s="602">
        <f>SUM(AE135:AE146)</f>
        <v>0</v>
      </c>
      <c r="AF147" s="2"/>
      <c r="AG147" s="2"/>
      <c r="AH147" s="2"/>
      <c r="AI147" s="598" t="s">
        <v>256</v>
      </c>
    </row>
    <row r="148" spans="1:35" s="51" customFormat="1" ht="16.350000000000001" customHeight="1" thickTop="1">
      <c r="A148" s="545"/>
      <c r="B148" s="118"/>
      <c r="C148" s="118"/>
      <c r="D148" s="118"/>
      <c r="E148" s="118"/>
      <c r="F148" s="118"/>
      <c r="G148" s="116"/>
      <c r="H148" s="2"/>
      <c r="I148" s="2"/>
      <c r="J148" s="2"/>
      <c r="K148" s="603" t="s">
        <v>254</v>
      </c>
      <c r="L148" s="732"/>
      <c r="M148" s="545"/>
      <c r="N148" s="118"/>
      <c r="O148" s="118"/>
      <c r="P148" s="118"/>
      <c r="Q148" s="118"/>
      <c r="R148" s="118"/>
      <c r="S148" s="116"/>
      <c r="T148" s="2"/>
      <c r="U148" s="2"/>
      <c r="V148" s="2"/>
      <c r="W148" s="603" t="s">
        <v>254</v>
      </c>
      <c r="X148" s="1032"/>
      <c r="Y148" s="545"/>
      <c r="Z148" s="118"/>
      <c r="AA148" s="118"/>
      <c r="AB148" s="118"/>
      <c r="AC148" s="118"/>
      <c r="AD148" s="118"/>
      <c r="AE148" s="116"/>
      <c r="AF148" s="2"/>
      <c r="AG148" s="2"/>
      <c r="AH148" s="2"/>
      <c r="AI148" s="603" t="s">
        <v>254</v>
      </c>
    </row>
    <row r="149" spans="1:35" s="51" customFormat="1" ht="16.350000000000001" customHeight="1" thickBot="1">
      <c r="A149" s="24"/>
      <c r="B149" s="97"/>
      <c r="C149" s="97"/>
      <c r="D149" s="97"/>
      <c r="E149" s="97"/>
      <c r="F149" s="97"/>
      <c r="G149" s="97"/>
      <c r="H149" s="97"/>
      <c r="I149" s="97"/>
      <c r="J149" s="97"/>
      <c r="K149" s="604"/>
      <c r="L149" s="732"/>
      <c r="M149" s="24"/>
      <c r="N149" s="97"/>
      <c r="O149" s="97"/>
      <c r="P149" s="97"/>
      <c r="Q149" s="97"/>
      <c r="R149" s="97"/>
      <c r="S149" s="97"/>
      <c r="T149" s="97"/>
      <c r="U149" s="97"/>
      <c r="V149" s="97"/>
      <c r="W149" s="604"/>
      <c r="X149" s="1032"/>
      <c r="Y149" s="24"/>
      <c r="Z149" s="97"/>
      <c r="AA149" s="97"/>
      <c r="AB149" s="97"/>
      <c r="AC149" s="97"/>
      <c r="AD149" s="97"/>
      <c r="AE149" s="97"/>
      <c r="AF149" s="97"/>
      <c r="AG149" s="97"/>
      <c r="AH149" s="97"/>
      <c r="AI149" s="604"/>
    </row>
    <row r="150" spans="1:35" s="51" customFormat="1" ht="16.350000000000001" customHeight="1" thickBot="1">
      <c r="A150" s="1026" t="s">
        <v>945</v>
      </c>
      <c r="B150" s="1027"/>
      <c r="C150" s="1027"/>
      <c r="D150" s="1027"/>
      <c r="E150" s="1027"/>
      <c r="F150" s="1027"/>
      <c r="G150" s="1027"/>
      <c r="H150" s="1027"/>
      <c r="I150" s="1027"/>
      <c r="J150" s="1027"/>
      <c r="K150" s="1028"/>
      <c r="L150" s="732"/>
      <c r="M150" s="1026" t="s">
        <v>945</v>
      </c>
      <c r="N150" s="1027"/>
      <c r="O150" s="1027"/>
      <c r="P150" s="1027"/>
      <c r="Q150" s="1027"/>
      <c r="R150" s="1027"/>
      <c r="S150" s="1027"/>
      <c r="T150" s="1027"/>
      <c r="U150" s="1027"/>
      <c r="V150" s="1027"/>
      <c r="W150" s="1028"/>
      <c r="X150" s="1032"/>
      <c r="Y150" s="1026" t="s">
        <v>945</v>
      </c>
      <c r="Z150" s="1027"/>
      <c r="AA150" s="1027"/>
      <c r="AB150" s="1027"/>
      <c r="AC150" s="1027"/>
      <c r="AD150" s="1027"/>
      <c r="AE150" s="1027"/>
      <c r="AF150" s="1027"/>
      <c r="AG150" s="1027"/>
      <c r="AH150" s="1027"/>
      <c r="AI150" s="1028"/>
    </row>
    <row r="151" spans="1:35" s="51" customFormat="1" ht="16.350000000000001" customHeight="1">
      <c r="A151" s="810" t="s">
        <v>126</v>
      </c>
      <c r="B151" s="811" t="s">
        <v>106</v>
      </c>
      <c r="C151" s="812" t="s">
        <v>107</v>
      </c>
      <c r="D151" s="813" t="s">
        <v>12</v>
      </c>
      <c r="E151" s="813" t="s">
        <v>108</v>
      </c>
      <c r="F151" s="811" t="s">
        <v>11</v>
      </c>
      <c r="G151" s="813" t="s">
        <v>109</v>
      </c>
      <c r="H151" s="814"/>
      <c r="I151" s="814"/>
      <c r="J151" s="814"/>
      <c r="K151" s="815"/>
      <c r="L151" s="732"/>
      <c r="M151" s="810" t="s">
        <v>126</v>
      </c>
      <c r="N151" s="811" t="s">
        <v>106</v>
      </c>
      <c r="O151" s="812" t="s">
        <v>107</v>
      </c>
      <c r="P151" s="813" t="s">
        <v>12</v>
      </c>
      <c r="Q151" s="813" t="s">
        <v>108</v>
      </c>
      <c r="R151" s="811" t="s">
        <v>11</v>
      </c>
      <c r="S151" s="813" t="s">
        <v>109</v>
      </c>
      <c r="T151" s="814"/>
      <c r="U151" s="814"/>
      <c r="V151" s="814"/>
      <c r="W151" s="815"/>
      <c r="X151" s="1032"/>
      <c r="Y151" s="810" t="s">
        <v>126</v>
      </c>
      <c r="Z151" s="811" t="s">
        <v>106</v>
      </c>
      <c r="AA151" s="812" t="s">
        <v>107</v>
      </c>
      <c r="AB151" s="813" t="s">
        <v>12</v>
      </c>
      <c r="AC151" s="813" t="s">
        <v>108</v>
      </c>
      <c r="AD151" s="811" t="s">
        <v>11</v>
      </c>
      <c r="AE151" s="813" t="s">
        <v>109</v>
      </c>
      <c r="AF151" s="814"/>
      <c r="AG151" s="814"/>
      <c r="AH151" s="814"/>
      <c r="AI151" s="815"/>
    </row>
    <row r="152" spans="1:35" s="51" customFormat="1" ht="16.350000000000001" customHeight="1">
      <c r="A152" s="105" t="s">
        <v>500</v>
      </c>
      <c r="B152" s="48"/>
      <c r="C152" s="820"/>
      <c r="D152" s="36"/>
      <c r="E152" s="45" t="s">
        <v>128</v>
      </c>
      <c r="F152" s="41"/>
      <c r="G152" s="38"/>
      <c r="H152" s="2"/>
      <c r="I152" s="607" t="s">
        <v>96</v>
      </c>
      <c r="J152" s="607" t="s">
        <v>97</v>
      </c>
      <c r="K152" s="608" t="s">
        <v>98</v>
      </c>
      <c r="L152" s="732"/>
      <c r="M152" s="105" t="s">
        <v>500</v>
      </c>
      <c r="N152" s="48"/>
      <c r="O152" s="820"/>
      <c r="P152" s="36"/>
      <c r="Q152" s="45" t="s">
        <v>128</v>
      </c>
      <c r="R152" s="41"/>
      <c r="S152" s="38"/>
      <c r="T152" s="2"/>
      <c r="U152" s="607" t="s">
        <v>96</v>
      </c>
      <c r="V152" s="607" t="s">
        <v>97</v>
      </c>
      <c r="W152" s="608" t="s">
        <v>98</v>
      </c>
      <c r="X152" s="1032"/>
      <c r="Y152" s="105" t="s">
        <v>500</v>
      </c>
      <c r="Z152" s="48"/>
      <c r="AA152" s="820"/>
      <c r="AB152" s="36"/>
      <c r="AC152" s="45" t="s">
        <v>128</v>
      </c>
      <c r="AD152" s="41"/>
      <c r="AE152" s="38"/>
      <c r="AF152" s="2"/>
      <c r="AG152" s="607" t="s">
        <v>96</v>
      </c>
      <c r="AH152" s="607" t="s">
        <v>97</v>
      </c>
      <c r="AI152" s="608" t="s">
        <v>98</v>
      </c>
    </row>
    <row r="153" spans="1:35" s="51" customFormat="1" ht="16.350000000000001" customHeight="1">
      <c r="A153" s="584" t="s">
        <v>13</v>
      </c>
      <c r="B153" s="585">
        <f t="shared" ref="B153:B155" si="120">VLOOKUP(A153,Macronutrients,14,FALSE)</f>
        <v>0</v>
      </c>
      <c r="C153" s="586">
        <f t="shared" ref="C153:C155" si="121">VLOOKUP(A153,Macronutrients,18,FALSE)</f>
        <v>0</v>
      </c>
      <c r="D153" s="585">
        <f t="shared" ref="D153:D155" si="122">VLOOKUP(A153,Macronutrients,16,FALSE)</f>
        <v>1</v>
      </c>
      <c r="E153" s="587">
        <v>0</v>
      </c>
      <c r="F153" s="588">
        <f t="shared" ref="F153:F155" si="123">VLOOKUP(A153,Macronutrients,15,FALSE)</f>
        <v>0</v>
      </c>
      <c r="G153" s="736">
        <f t="shared" ref="G153:G155" si="124">(E153*VLOOKUP(A153,Macronutrients,14,FALSE)/D153)*C153</f>
        <v>0</v>
      </c>
      <c r="H153" s="2"/>
      <c r="I153" s="725">
        <f>VLOOKUP(A153,Macronutrients,2,FALSE)*E153+VLOOKUP(A154,Macronutrients,2,FALSE)*E154+VLOOKUP(A155,Macronutrients,2,FALSE)*E155+VLOOKUP(A158,Micronutrients,2,FALSE)*E158+VLOOKUP(A159,Micronutrients,2,FALSE)*E159+VLOOKUP(A160,Micronutrients,2,FALSE)*E160</f>
        <v>0</v>
      </c>
      <c r="J153" s="589">
        <f>VLOOKUP(A153,Macronutrients,3,FALSE)*E153+VLOOKUP(A154,Macronutrients,3,FALSE)*E154+VLOOKUP(A155,Macronutrients,3,FALSE)*E155+VLOOKUP(A158,Micronutrients,3,FALSE)*E158+VLOOKUP(A159,Micronutrients,3,FALSE)*E159+VLOOKUP(A160,Micronutrients,3,FALSE)*E160</f>
        <v>0</v>
      </c>
      <c r="K153" s="590">
        <f>VLOOKUP(A153,Macronutrients,4,FALSE)*E153+VLOOKUP(A154,Macronutrients,4,FALSE)*E154+VLOOKUP(A155,Macronutrients,4,FALSE)*E155+VLOOKUP(A158,Micronutrients,4,FALSE)*E158+VLOOKUP(A159,Micronutrients,4,FALSE)*E159+VLOOKUP(A160,Micronutrients,4,FALSE)*E160</f>
        <v>0</v>
      </c>
      <c r="L153" s="732"/>
      <c r="M153" s="584" t="s">
        <v>13</v>
      </c>
      <c r="N153" s="585">
        <f t="shared" ref="N153:N155" si="125">VLOOKUP(M153,Macronutrients,14,FALSE)</f>
        <v>0</v>
      </c>
      <c r="O153" s="586">
        <f t="shared" ref="O153:O155" si="126">VLOOKUP(M153,Macronutrients,18,FALSE)</f>
        <v>0</v>
      </c>
      <c r="P153" s="585">
        <f t="shared" ref="P153:P155" si="127">VLOOKUP(M153,Macronutrients,16,FALSE)</f>
        <v>1</v>
      </c>
      <c r="Q153" s="587">
        <v>0</v>
      </c>
      <c r="R153" s="588">
        <f t="shared" ref="R153:R155" si="128">VLOOKUP(M153,Macronutrients,15,FALSE)</f>
        <v>0</v>
      </c>
      <c r="S153" s="736">
        <f t="shared" ref="S153:S155" si="129">(Q153*VLOOKUP(M153,Macronutrients,14,FALSE)/P153)*O153</f>
        <v>0</v>
      </c>
      <c r="T153" s="2"/>
      <c r="U153" s="725">
        <f>VLOOKUP(M153,Macronutrients,2,FALSE)*Q153+VLOOKUP(M154,Macronutrients,2,FALSE)*Q154+VLOOKUP(M155,Macronutrients,2,FALSE)*Q155+VLOOKUP(M158,Micronutrients,2,FALSE)*Q158+VLOOKUP(M159,Micronutrients,2,FALSE)*Q159+VLOOKUP(M160,Micronutrients,2,FALSE)*Q160</f>
        <v>0</v>
      </c>
      <c r="V153" s="589">
        <f>VLOOKUP(M153,Macronutrients,3,FALSE)*Q153+VLOOKUP(M154,Macronutrients,3,FALSE)*Q154+VLOOKUP(M155,Macronutrients,3,FALSE)*Q155+VLOOKUP(M158,Micronutrients,3,FALSE)*Q158+VLOOKUP(M159,Micronutrients,3,FALSE)*Q159+VLOOKUP(M160,Micronutrients,3,FALSE)*Q160</f>
        <v>0</v>
      </c>
      <c r="W153" s="590">
        <f>VLOOKUP(M153,Macronutrients,4,FALSE)*Q153+VLOOKUP(M154,Macronutrients,4,FALSE)*Q154+VLOOKUP(M155,Macronutrients,4,FALSE)*Q155+VLOOKUP(M158,Micronutrients,4,FALSE)*Q158+VLOOKUP(M159,Micronutrients,4,FALSE)*Q159+VLOOKUP(M160,Micronutrients,4,FALSE)*Q160</f>
        <v>0</v>
      </c>
      <c r="X153" s="1032"/>
      <c r="Y153" s="584" t="s">
        <v>13</v>
      </c>
      <c r="Z153" s="585">
        <f t="shared" ref="Z153:Z155" si="130">VLOOKUP(Y153,Macronutrients,14,FALSE)</f>
        <v>0</v>
      </c>
      <c r="AA153" s="586">
        <f t="shared" ref="AA153:AA155" si="131">VLOOKUP(Y153,Macronutrients,18,FALSE)</f>
        <v>0</v>
      </c>
      <c r="AB153" s="585">
        <f t="shared" ref="AB153:AB155" si="132">VLOOKUP(Y153,Macronutrients,16,FALSE)</f>
        <v>1</v>
      </c>
      <c r="AC153" s="587">
        <v>0</v>
      </c>
      <c r="AD153" s="588">
        <f t="shared" ref="AD153:AD155" si="133">VLOOKUP(Y153,Macronutrients,15,FALSE)</f>
        <v>0</v>
      </c>
      <c r="AE153" s="736">
        <f t="shared" ref="AE153:AE155" si="134">(AC153*VLOOKUP(Y153,Macronutrients,14,FALSE)/AB153)*AA153</f>
        <v>0</v>
      </c>
      <c r="AF153" s="2"/>
      <c r="AG153" s="725">
        <f>VLOOKUP(Y153,Macronutrients,2,FALSE)*AC153+VLOOKUP(Y154,Macronutrients,2,FALSE)*AC154+VLOOKUP(Y155,Macronutrients,2,FALSE)*AC155+VLOOKUP(Y158,Micronutrients,2,FALSE)*AC158+VLOOKUP(Y159,Micronutrients,2,FALSE)*AC159+VLOOKUP(Y160,Micronutrients,2,FALSE)*AC160</f>
        <v>0</v>
      </c>
      <c r="AH153" s="589">
        <f>VLOOKUP(Y153,Macronutrients,3,FALSE)*AC153+VLOOKUP(Y154,Macronutrients,3,FALSE)*AC154+VLOOKUP(Y155,Macronutrients,3,FALSE)*AC155+VLOOKUP(Y158,Micronutrients,3,FALSE)*AC158+VLOOKUP(Y159,Micronutrients,3,FALSE)*AC159+VLOOKUP(Y160,Micronutrients,3,FALSE)*AC160</f>
        <v>0</v>
      </c>
      <c r="AI153" s="590">
        <f>VLOOKUP(Y153,Macronutrients,4,FALSE)*AC153+VLOOKUP(Y154,Macronutrients,4,FALSE)*AC154+VLOOKUP(Y155,Macronutrients,4,FALSE)*AC155+VLOOKUP(Y158,Micronutrients,4,FALSE)*AC158+VLOOKUP(Y159,Micronutrients,4,FALSE)*AC159+VLOOKUP(Y160,Micronutrients,4,FALSE)*AC160</f>
        <v>0</v>
      </c>
    </row>
    <row r="154" spans="1:35" s="51" customFormat="1" ht="16.350000000000001" customHeight="1">
      <c r="A154" s="584" t="s">
        <v>13</v>
      </c>
      <c r="B154" s="585">
        <f t="shared" si="120"/>
        <v>0</v>
      </c>
      <c r="C154" s="586">
        <f t="shared" si="121"/>
        <v>0</v>
      </c>
      <c r="D154" s="585">
        <f t="shared" si="122"/>
        <v>1</v>
      </c>
      <c r="E154" s="587">
        <v>0</v>
      </c>
      <c r="F154" s="588">
        <f t="shared" si="123"/>
        <v>0</v>
      </c>
      <c r="G154" s="736">
        <f t="shared" si="124"/>
        <v>0</v>
      </c>
      <c r="H154" s="2"/>
      <c r="I154" s="592"/>
      <c r="J154" s="592"/>
      <c r="K154" s="593"/>
      <c r="L154" s="732"/>
      <c r="M154" s="584" t="s">
        <v>13</v>
      </c>
      <c r="N154" s="585">
        <f t="shared" si="125"/>
        <v>0</v>
      </c>
      <c r="O154" s="586">
        <f t="shared" si="126"/>
        <v>0</v>
      </c>
      <c r="P154" s="585">
        <f t="shared" si="127"/>
        <v>1</v>
      </c>
      <c r="Q154" s="587">
        <v>0</v>
      </c>
      <c r="R154" s="588">
        <f t="shared" si="128"/>
        <v>0</v>
      </c>
      <c r="S154" s="736">
        <f t="shared" si="129"/>
        <v>0</v>
      </c>
      <c r="T154" s="2"/>
      <c r="U154" s="592"/>
      <c r="V154" s="592"/>
      <c r="W154" s="593"/>
      <c r="X154" s="1032"/>
      <c r="Y154" s="584" t="s">
        <v>13</v>
      </c>
      <c r="Z154" s="585">
        <f t="shared" si="130"/>
        <v>0</v>
      </c>
      <c r="AA154" s="586">
        <f t="shared" si="131"/>
        <v>0</v>
      </c>
      <c r="AB154" s="585">
        <f t="shared" si="132"/>
        <v>1</v>
      </c>
      <c r="AC154" s="587">
        <v>0</v>
      </c>
      <c r="AD154" s="588">
        <f t="shared" si="133"/>
        <v>0</v>
      </c>
      <c r="AE154" s="736">
        <f t="shared" si="134"/>
        <v>0</v>
      </c>
      <c r="AF154" s="2"/>
      <c r="AG154" s="592"/>
      <c r="AH154" s="592"/>
      <c r="AI154" s="593"/>
    </row>
    <row r="155" spans="1:35" s="51" customFormat="1" ht="16.350000000000001" customHeight="1">
      <c r="A155" s="584" t="s">
        <v>13</v>
      </c>
      <c r="B155" s="585">
        <f t="shared" si="120"/>
        <v>0</v>
      </c>
      <c r="C155" s="586">
        <f t="shared" si="121"/>
        <v>0</v>
      </c>
      <c r="D155" s="585">
        <f t="shared" si="122"/>
        <v>1</v>
      </c>
      <c r="E155" s="587">
        <v>0</v>
      </c>
      <c r="F155" s="588">
        <f t="shared" si="123"/>
        <v>0</v>
      </c>
      <c r="G155" s="736">
        <f t="shared" si="124"/>
        <v>0</v>
      </c>
      <c r="I155" s="607" t="s">
        <v>99</v>
      </c>
      <c r="J155" s="607" t="s">
        <v>100</v>
      </c>
      <c r="K155" s="608" t="s">
        <v>101</v>
      </c>
      <c r="L155" s="732"/>
      <c r="M155" s="584" t="s">
        <v>13</v>
      </c>
      <c r="N155" s="585">
        <f t="shared" si="125"/>
        <v>0</v>
      </c>
      <c r="O155" s="586">
        <f t="shared" si="126"/>
        <v>0</v>
      </c>
      <c r="P155" s="585">
        <f t="shared" si="127"/>
        <v>1</v>
      </c>
      <c r="Q155" s="587">
        <v>0</v>
      </c>
      <c r="R155" s="588">
        <f t="shared" si="128"/>
        <v>0</v>
      </c>
      <c r="S155" s="736">
        <f t="shared" si="129"/>
        <v>0</v>
      </c>
      <c r="U155" s="607" t="s">
        <v>99</v>
      </c>
      <c r="V155" s="607" t="s">
        <v>100</v>
      </c>
      <c r="W155" s="608" t="s">
        <v>101</v>
      </c>
      <c r="X155" s="1032"/>
      <c r="Y155" s="584" t="s">
        <v>13</v>
      </c>
      <c r="Z155" s="585">
        <f t="shared" si="130"/>
        <v>0</v>
      </c>
      <c r="AA155" s="586">
        <f t="shared" si="131"/>
        <v>0</v>
      </c>
      <c r="AB155" s="585">
        <f t="shared" si="132"/>
        <v>1</v>
      </c>
      <c r="AC155" s="587">
        <v>0</v>
      </c>
      <c r="AD155" s="588">
        <f t="shared" si="133"/>
        <v>0</v>
      </c>
      <c r="AE155" s="736">
        <f t="shared" si="134"/>
        <v>0</v>
      </c>
      <c r="AG155" s="607" t="s">
        <v>99</v>
      </c>
      <c r="AH155" s="607" t="s">
        <v>100</v>
      </c>
      <c r="AI155" s="608" t="s">
        <v>101</v>
      </c>
    </row>
    <row r="156" spans="1:35" s="51" customFormat="1" ht="16.350000000000001" customHeight="1">
      <c r="A156" s="595"/>
      <c r="B156" s="38"/>
      <c r="C156" s="586"/>
      <c r="D156" s="588"/>
      <c r="E156" s="111"/>
      <c r="F156" s="588"/>
      <c r="G156" s="736"/>
      <c r="H156" s="2"/>
      <c r="I156" s="589">
        <f>VLOOKUP(A153,Macronutrients,5,FALSE)*E153+VLOOKUP(A154,Macronutrients,5,FALSE)*E154+VLOOKUP(A155,Macronutrients,5,FALSE)*E155+VLOOKUP(A158,Micronutrients,5,FALSE)*E158+VLOOKUP(A159,Micronutrients,5,FALSE)*E159+VLOOKUP(A160,Micronutrients,5,FALSE)*E160</f>
        <v>0</v>
      </c>
      <c r="J156" s="589">
        <f>VLOOKUP(A153,Macronutrients,7,FALSE)*E153+VLOOKUP(A154,Macronutrients,7,FALSE)*E154+VLOOKUP(A155,Macronutrients,7,FALSE)*E155+VLOOKUP(A158,Micronutrients,7,FALSE)*E158+VLOOKUP(A159,Micronutrients,7,FALSE)*E159+VLOOKUP(A160,Micronutrients,7,FALSE)*E160</f>
        <v>0</v>
      </c>
      <c r="K156" s="590">
        <f>VLOOKUP($A153,Macronutrients,6,FALSE)*$E$6+VLOOKUP($A154,Macronutrients,6,FALSE)*$E$7+VLOOKUP($A155,Macronutrients,6,FALSE)*$E$8+VLOOKUP($A158,Micronutrients,6,FALSE)*$E$11+VLOOKUP($A159,Micronutrients,6,FALSE)*E159+VLOOKUP($A160,Micronutrients,6,FALSE)*$E$13</f>
        <v>0</v>
      </c>
      <c r="L156" s="732"/>
      <c r="M156" s="595"/>
      <c r="N156" s="38"/>
      <c r="O156" s="586"/>
      <c r="P156" s="588"/>
      <c r="Q156" s="111"/>
      <c r="R156" s="588"/>
      <c r="S156" s="736"/>
      <c r="T156" s="2"/>
      <c r="U156" s="589">
        <f>VLOOKUP(M153,Macronutrients,5,FALSE)*Q153+VLOOKUP(M154,Macronutrients,5,FALSE)*Q154+VLOOKUP(M155,Macronutrients,5,FALSE)*Q155+VLOOKUP(M158,Micronutrients,5,FALSE)*Q158+VLOOKUP(M159,Micronutrients,5,FALSE)*Q159+VLOOKUP(M160,Micronutrients,5,FALSE)*Q160</f>
        <v>0</v>
      </c>
      <c r="V156" s="589">
        <f>VLOOKUP(M153,Macronutrients,7,FALSE)*Q153+VLOOKUP(M154,Macronutrients,7,FALSE)*Q154+VLOOKUP(M155,Macronutrients,7,FALSE)*Q155+VLOOKUP(M158,Micronutrients,7,FALSE)*Q158+VLOOKUP(M159,Micronutrients,7,FALSE)*Q159+VLOOKUP(M160,Micronutrients,7,FALSE)*Q160</f>
        <v>0</v>
      </c>
      <c r="W156" s="590">
        <f>VLOOKUP($A153,Macronutrients,6,FALSE)*$E$6+VLOOKUP($A154,Macronutrients,6,FALSE)*$E$7+VLOOKUP($A155,Macronutrients,6,FALSE)*$E$8+VLOOKUP($A158,Micronutrients,6,FALSE)*$E$11+VLOOKUP($A159,Micronutrients,6,FALSE)*Q159+VLOOKUP($A160,Micronutrients,6,FALSE)*$E$13</f>
        <v>0</v>
      </c>
      <c r="X156" s="1032"/>
      <c r="Y156" s="595"/>
      <c r="Z156" s="38"/>
      <c r="AA156" s="586"/>
      <c r="AB156" s="588"/>
      <c r="AC156" s="111"/>
      <c r="AD156" s="588"/>
      <c r="AE156" s="736"/>
      <c r="AF156" s="2"/>
      <c r="AG156" s="589">
        <f>VLOOKUP(Y153,Macronutrients,5,FALSE)*AC153+VLOOKUP(Y154,Macronutrients,5,FALSE)*AC154+VLOOKUP(Y155,Macronutrients,5,FALSE)*AC155+VLOOKUP(Y158,Micronutrients,5,FALSE)*AC158+VLOOKUP(Y159,Micronutrients,5,FALSE)*AC159+VLOOKUP(Y160,Micronutrients,5,FALSE)*AC160</f>
        <v>0</v>
      </c>
      <c r="AH156" s="589">
        <f>VLOOKUP(Y153,Macronutrients,7,FALSE)*AC153+VLOOKUP(Y154,Macronutrients,7,FALSE)*AC154+VLOOKUP(Y155,Macronutrients,7,FALSE)*AC155+VLOOKUP(Y158,Micronutrients,7,FALSE)*AC158+VLOOKUP(Y159,Micronutrients,7,FALSE)*AC159+VLOOKUP(Y160,Micronutrients,7,FALSE)*AC160</f>
        <v>0</v>
      </c>
      <c r="AI156" s="590">
        <f>VLOOKUP($A153,Macronutrients,6,FALSE)*$E$6+VLOOKUP($A154,Macronutrients,6,FALSE)*$E$7+VLOOKUP($A155,Macronutrients,6,FALSE)*$E$8+VLOOKUP($A158,Micronutrients,6,FALSE)*$E$11+VLOOKUP($A159,Micronutrients,6,FALSE)*AC159+VLOOKUP($A160,Micronutrients,6,FALSE)*$E$13</f>
        <v>0</v>
      </c>
    </row>
    <row r="157" spans="1:35" s="51" customFormat="1" ht="16.350000000000001" customHeight="1">
      <c r="A157" s="105" t="s">
        <v>501</v>
      </c>
      <c r="B157" s="821"/>
      <c r="C157" s="586"/>
      <c r="D157" s="821"/>
      <c r="E157" s="596"/>
      <c r="F157" s="48"/>
      <c r="G157" s="736"/>
      <c r="H157" s="2"/>
      <c r="I157" s="592"/>
      <c r="J157" s="592"/>
      <c r="K157" s="593"/>
      <c r="L157" s="732"/>
      <c r="M157" s="105" t="s">
        <v>501</v>
      </c>
      <c r="N157" s="821"/>
      <c r="O157" s="586"/>
      <c r="P157" s="821"/>
      <c r="Q157" s="596"/>
      <c r="R157" s="48"/>
      <c r="S157" s="736"/>
      <c r="T157" s="2"/>
      <c r="U157" s="592"/>
      <c r="V157" s="592"/>
      <c r="W157" s="593"/>
      <c r="X157" s="1032"/>
      <c r="Y157" s="105" t="s">
        <v>501</v>
      </c>
      <c r="Z157" s="821"/>
      <c r="AA157" s="586"/>
      <c r="AB157" s="821"/>
      <c r="AC157" s="596"/>
      <c r="AD157" s="48"/>
      <c r="AE157" s="736"/>
      <c r="AF157" s="2"/>
      <c r="AG157" s="592"/>
      <c r="AH157" s="592"/>
      <c r="AI157" s="593"/>
    </row>
    <row r="158" spans="1:35" s="51" customFormat="1" ht="16.350000000000001" customHeight="1">
      <c r="A158" s="584" t="s">
        <v>13</v>
      </c>
      <c r="B158" s="585">
        <f>VLOOKUP($A158,Micronutrients,14,FALSE)</f>
        <v>0</v>
      </c>
      <c r="C158" s="586">
        <f>VLOOKUP(A158,Micronutrients,18,FALSE)</f>
        <v>0</v>
      </c>
      <c r="D158" s="585">
        <f>VLOOKUP(A158,Micronutrients,16,FALSE)</f>
        <v>1</v>
      </c>
      <c r="E158" s="587">
        <v>0</v>
      </c>
      <c r="F158" s="588">
        <f>VLOOKUP(A158,Micronutrients,15,FALSE)</f>
        <v>0</v>
      </c>
      <c r="G158" s="736">
        <f>(E158*VLOOKUP(A158,Micronutrients,14,FALSE)/D158)*C158</f>
        <v>0</v>
      </c>
      <c r="H158" s="2"/>
      <c r="I158" s="607" t="s">
        <v>102</v>
      </c>
      <c r="J158" s="607" t="s">
        <v>103</v>
      </c>
      <c r="K158" s="608" t="s">
        <v>104</v>
      </c>
      <c r="L158" s="732"/>
      <c r="M158" s="584" t="s">
        <v>13</v>
      </c>
      <c r="N158" s="585">
        <f>VLOOKUP($A158,Micronutrients,14,FALSE)</f>
        <v>0</v>
      </c>
      <c r="O158" s="586">
        <f>VLOOKUP(M158,Micronutrients,18,FALSE)</f>
        <v>0</v>
      </c>
      <c r="P158" s="585">
        <f>VLOOKUP(M158,Micronutrients,16,FALSE)</f>
        <v>1</v>
      </c>
      <c r="Q158" s="587">
        <v>0</v>
      </c>
      <c r="R158" s="588">
        <f>VLOOKUP(M158,Micronutrients,15,FALSE)</f>
        <v>0</v>
      </c>
      <c r="S158" s="736">
        <f>(Q158*VLOOKUP(M158,Micronutrients,14,FALSE)/P158)*O158</f>
        <v>0</v>
      </c>
      <c r="T158" s="2"/>
      <c r="U158" s="607" t="s">
        <v>102</v>
      </c>
      <c r="V158" s="607" t="s">
        <v>103</v>
      </c>
      <c r="W158" s="608" t="s">
        <v>104</v>
      </c>
      <c r="X158" s="1032"/>
      <c r="Y158" s="584" t="s">
        <v>13</v>
      </c>
      <c r="Z158" s="585">
        <f>VLOOKUP($A158,Micronutrients,14,FALSE)</f>
        <v>0</v>
      </c>
      <c r="AA158" s="586">
        <f>VLOOKUP(Y158,Micronutrients,18,FALSE)</f>
        <v>0</v>
      </c>
      <c r="AB158" s="585">
        <f>VLOOKUP(Y158,Micronutrients,16,FALSE)</f>
        <v>1</v>
      </c>
      <c r="AC158" s="587">
        <v>0</v>
      </c>
      <c r="AD158" s="588">
        <f>VLOOKUP(Y158,Micronutrients,15,FALSE)</f>
        <v>0</v>
      </c>
      <c r="AE158" s="736">
        <f>(AC158*VLOOKUP(Y158,Micronutrients,14,FALSE)/AB158)*AA158</f>
        <v>0</v>
      </c>
      <c r="AF158" s="2"/>
      <c r="AG158" s="607" t="s">
        <v>102</v>
      </c>
      <c r="AH158" s="607" t="s">
        <v>103</v>
      </c>
      <c r="AI158" s="608" t="s">
        <v>104</v>
      </c>
    </row>
    <row r="159" spans="1:35" s="51" customFormat="1" ht="16.350000000000001" customHeight="1">
      <c r="A159" s="584" t="s">
        <v>13</v>
      </c>
      <c r="B159" s="585">
        <f>VLOOKUP($A159,Micronutrients,14,FALSE)</f>
        <v>0</v>
      </c>
      <c r="C159" s="586">
        <f>VLOOKUP(A159,Micronutrients,18,FALSE)</f>
        <v>0</v>
      </c>
      <c r="D159" s="585">
        <f>VLOOKUP(A159,Micronutrients,16,FALSE)</f>
        <v>1</v>
      </c>
      <c r="E159" s="587">
        <v>0</v>
      </c>
      <c r="F159" s="588">
        <f>VLOOKUP(A159,Micronutrients,15,FALSE)</f>
        <v>0</v>
      </c>
      <c r="G159" s="736">
        <f>(E159*VLOOKUP(A159,Micronutrients,14,FALSE)/D159)*C159</f>
        <v>0</v>
      </c>
      <c r="H159" s="2"/>
      <c r="I159" s="722">
        <f>VLOOKUP(A153,Macronutrients,8,FALSE)*E153+VLOOKUP(A154,Macronutrients,8,FALSE)*E154+VLOOKUP(A155,Macronutrients,8,FALSE)*E155+VLOOKUP(A158,Micronutrients,8,FALSE)*E158+VLOOKUP(A159,Micronutrients,8,FALSE)*E159+VLOOKUP(A160,Micronutrients,8,FALSE)*E160</f>
        <v>0</v>
      </c>
      <c r="J159" s="722">
        <f>VLOOKUP(A153,Macronutrients,9,FALSE)*E153+VLOOKUP(A154,Macronutrients,9,FALSE)*E154+VLOOKUP(A155,Macronutrients,9,FALSE)*E155+VLOOKUP(A158,Micronutrients,9,FALSE)*E158+VLOOKUP(A159,Micronutrients,9,FALSE)*E159+VLOOKUP(A160,Micronutrients,9,FALSE)*E160</f>
        <v>0</v>
      </c>
      <c r="K159" s="723">
        <f>VLOOKUP(A153,Macronutrients,10,FALSE)*E153+VLOOKUP(A154,Macronutrients,10,FALSE)*E154+VLOOKUP(A155,Macronutrients,10,FALSE)*E155+VLOOKUP(A158,Micronutrients,10,FALSE)*E158+VLOOKUP(A159,Micronutrients,10,FALSE)*E159+VLOOKUP(A160,Micronutrients,10,FALSE)*E160</f>
        <v>0</v>
      </c>
      <c r="L159" s="732"/>
      <c r="M159" s="584" t="s">
        <v>13</v>
      </c>
      <c r="N159" s="585">
        <f>VLOOKUP($A159,Micronutrients,14,FALSE)</f>
        <v>0</v>
      </c>
      <c r="O159" s="586">
        <f>VLOOKUP(M159,Micronutrients,18,FALSE)</f>
        <v>0</v>
      </c>
      <c r="P159" s="585">
        <f>VLOOKUP(M159,Micronutrients,16,FALSE)</f>
        <v>1</v>
      </c>
      <c r="Q159" s="587">
        <v>0</v>
      </c>
      <c r="R159" s="588">
        <f>VLOOKUP(M159,Micronutrients,15,FALSE)</f>
        <v>0</v>
      </c>
      <c r="S159" s="736">
        <f>(Q159*VLOOKUP(M159,Micronutrients,14,FALSE)/P159)*O159</f>
        <v>0</v>
      </c>
      <c r="T159" s="2"/>
      <c r="U159" s="722">
        <f>VLOOKUP(M153,Macronutrients,8,FALSE)*Q153+VLOOKUP(M154,Macronutrients,8,FALSE)*Q154+VLOOKUP(M155,Macronutrients,8,FALSE)*Q155+VLOOKUP(M158,Micronutrients,8,FALSE)*Q158+VLOOKUP(M159,Micronutrients,8,FALSE)*Q159+VLOOKUP(M160,Micronutrients,8,FALSE)*Q160</f>
        <v>0</v>
      </c>
      <c r="V159" s="722">
        <f>VLOOKUP(M153,Macronutrients,9,FALSE)*Q153+VLOOKUP(M154,Macronutrients,9,FALSE)*Q154+VLOOKUP(M155,Macronutrients,9,FALSE)*Q155+VLOOKUP(M158,Micronutrients,9,FALSE)*Q158+VLOOKUP(M159,Micronutrients,9,FALSE)*Q159+VLOOKUP(M160,Micronutrients,9,FALSE)*Q160</f>
        <v>0</v>
      </c>
      <c r="W159" s="723">
        <f>VLOOKUP(M153,Macronutrients,10,FALSE)*Q153+VLOOKUP(M154,Macronutrients,10,FALSE)*Q154+VLOOKUP(M155,Macronutrients,10,FALSE)*Q155+VLOOKUP(M158,Micronutrients,10,FALSE)*Q158+VLOOKUP(M159,Micronutrients,10,FALSE)*Q159+VLOOKUP(M160,Micronutrients,10,FALSE)*Q160</f>
        <v>0</v>
      </c>
      <c r="X159" s="1032"/>
      <c r="Y159" s="584" t="s">
        <v>13</v>
      </c>
      <c r="Z159" s="585">
        <f>VLOOKUP($A159,Micronutrients,14,FALSE)</f>
        <v>0</v>
      </c>
      <c r="AA159" s="586">
        <f>VLOOKUP(Y159,Micronutrients,18,FALSE)</f>
        <v>0</v>
      </c>
      <c r="AB159" s="585">
        <f>VLOOKUP(Y159,Micronutrients,16,FALSE)</f>
        <v>1</v>
      </c>
      <c r="AC159" s="587">
        <v>0</v>
      </c>
      <c r="AD159" s="588">
        <f>VLOOKUP(Y159,Micronutrients,15,FALSE)</f>
        <v>0</v>
      </c>
      <c r="AE159" s="736">
        <f>(AC159*VLOOKUP(Y159,Micronutrients,14,FALSE)/AB159)*AA159</f>
        <v>0</v>
      </c>
      <c r="AF159" s="2"/>
      <c r="AG159" s="722">
        <f>VLOOKUP(Y153,Macronutrients,8,FALSE)*AC153+VLOOKUP(Y154,Macronutrients,8,FALSE)*AC154+VLOOKUP(Y155,Macronutrients,8,FALSE)*AC155+VLOOKUP(Y158,Micronutrients,8,FALSE)*AC158+VLOOKUP(Y159,Micronutrients,8,FALSE)*AC159+VLOOKUP(Y160,Micronutrients,8,FALSE)*AC160</f>
        <v>0</v>
      </c>
      <c r="AH159" s="722">
        <f>VLOOKUP(Y153,Macronutrients,9,FALSE)*AC153+VLOOKUP(Y154,Macronutrients,9,FALSE)*AC154+VLOOKUP(Y155,Macronutrients,9,FALSE)*AC155+VLOOKUP(Y158,Micronutrients,9,FALSE)*AC158+VLOOKUP(Y159,Micronutrients,9,FALSE)*AC159+VLOOKUP(Y160,Micronutrients,9,FALSE)*AC160</f>
        <v>0</v>
      </c>
      <c r="AI159" s="723">
        <f>VLOOKUP(Y153,Macronutrients,10,FALSE)*AC153+VLOOKUP(Y154,Macronutrients,10,FALSE)*AC154+VLOOKUP(Y155,Macronutrients,10,FALSE)*AC155+VLOOKUP(Y158,Micronutrients,10,FALSE)*AC158+VLOOKUP(Y159,Micronutrients,10,FALSE)*AC159+VLOOKUP(Y160,Micronutrients,10,FALSE)*AC160</f>
        <v>0</v>
      </c>
    </row>
    <row r="160" spans="1:35" s="51" customFormat="1" ht="16.350000000000001" customHeight="1">
      <c r="A160" s="584" t="s">
        <v>13</v>
      </c>
      <c r="B160" s="585">
        <f>VLOOKUP($A160,Micronutrients,14,FALSE)</f>
        <v>0</v>
      </c>
      <c r="C160" s="586">
        <f>VLOOKUP(A160,Micronutrients,18,FALSE)</f>
        <v>0</v>
      </c>
      <c r="D160" s="585">
        <f>VLOOKUP(A160,Micronutrients,16,FALSE)</f>
        <v>1</v>
      </c>
      <c r="E160" s="587">
        <v>0</v>
      </c>
      <c r="F160" s="588">
        <f>VLOOKUP(A160,Micronutrients,15,FALSE)</f>
        <v>0</v>
      </c>
      <c r="G160" s="736">
        <f>(E160*VLOOKUP(A160,Micronutrients,14,FALSE)/D160)*C160</f>
        <v>0</v>
      </c>
      <c r="H160" s="2"/>
      <c r="I160" s="2"/>
      <c r="J160" s="2"/>
      <c r="K160" s="49"/>
      <c r="L160" s="732"/>
      <c r="M160" s="584" t="s">
        <v>13</v>
      </c>
      <c r="N160" s="585">
        <f>VLOOKUP($A160,Micronutrients,14,FALSE)</f>
        <v>0</v>
      </c>
      <c r="O160" s="586">
        <f>VLOOKUP(M160,Micronutrients,18,FALSE)</f>
        <v>0</v>
      </c>
      <c r="P160" s="585">
        <f>VLOOKUP(M160,Micronutrients,16,FALSE)</f>
        <v>1</v>
      </c>
      <c r="Q160" s="587">
        <v>0</v>
      </c>
      <c r="R160" s="588">
        <f>VLOOKUP(M160,Micronutrients,15,FALSE)</f>
        <v>0</v>
      </c>
      <c r="S160" s="736">
        <f>(Q160*VLOOKUP(M160,Micronutrients,14,FALSE)/P160)*O160</f>
        <v>0</v>
      </c>
      <c r="T160" s="2"/>
      <c r="U160" s="2"/>
      <c r="V160" s="2"/>
      <c r="W160" s="49"/>
      <c r="X160" s="1032"/>
      <c r="Y160" s="584" t="s">
        <v>13</v>
      </c>
      <c r="Z160" s="585">
        <f>VLOOKUP($A160,Micronutrients,14,FALSE)</f>
        <v>0</v>
      </c>
      <c r="AA160" s="586">
        <f>VLOOKUP(Y160,Micronutrients,18,FALSE)</f>
        <v>0</v>
      </c>
      <c r="AB160" s="585">
        <f>VLOOKUP(Y160,Micronutrients,16,FALSE)</f>
        <v>1</v>
      </c>
      <c r="AC160" s="587">
        <v>0</v>
      </c>
      <c r="AD160" s="588">
        <f>VLOOKUP(Y160,Micronutrients,15,FALSE)</f>
        <v>0</v>
      </c>
      <c r="AE160" s="736">
        <f>(AC160*VLOOKUP(Y160,Micronutrients,14,FALSE)/AB160)*AA160</f>
        <v>0</v>
      </c>
      <c r="AF160" s="2"/>
      <c r="AG160" s="2"/>
      <c r="AH160" s="2"/>
      <c r="AI160" s="49"/>
    </row>
    <row r="161" spans="1:35" s="51" customFormat="1" ht="16.350000000000001" customHeight="1">
      <c r="A161" s="595"/>
      <c r="B161" s="821"/>
      <c r="C161" s="586"/>
      <c r="D161" s="821"/>
      <c r="E161" s="596"/>
      <c r="F161" s="588"/>
      <c r="G161" s="736"/>
      <c r="H161" s="2"/>
      <c r="I161" s="607" t="s">
        <v>886</v>
      </c>
      <c r="J161" s="607" t="s">
        <v>887</v>
      </c>
      <c r="K161" s="608" t="s">
        <v>888</v>
      </c>
      <c r="L161" s="732"/>
      <c r="M161" s="595"/>
      <c r="N161" s="821"/>
      <c r="O161" s="586"/>
      <c r="P161" s="821"/>
      <c r="Q161" s="596"/>
      <c r="R161" s="588"/>
      <c r="S161" s="736"/>
      <c r="T161" s="2"/>
      <c r="U161" s="607" t="s">
        <v>886</v>
      </c>
      <c r="V161" s="607" t="s">
        <v>887</v>
      </c>
      <c r="W161" s="608" t="s">
        <v>888</v>
      </c>
      <c r="X161" s="1032"/>
      <c r="Y161" s="595"/>
      <c r="Z161" s="821"/>
      <c r="AA161" s="586"/>
      <c r="AB161" s="821"/>
      <c r="AC161" s="596"/>
      <c r="AD161" s="588"/>
      <c r="AE161" s="736"/>
      <c r="AF161" s="2"/>
      <c r="AG161" s="607" t="s">
        <v>886</v>
      </c>
      <c r="AH161" s="607" t="s">
        <v>887</v>
      </c>
      <c r="AI161" s="608" t="s">
        <v>888</v>
      </c>
    </row>
    <row r="162" spans="1:35" s="51" customFormat="1" ht="16.350000000000001" customHeight="1">
      <c r="A162" s="595"/>
      <c r="B162" s="821"/>
      <c r="C162" s="586"/>
      <c r="D162" s="821"/>
      <c r="E162" s="596"/>
      <c r="F162" s="48"/>
      <c r="G162" s="736"/>
      <c r="H162" s="2"/>
      <c r="I162" s="722">
        <f>VLOOKUP(A153,Macronutrients,11,FALSE)*E153+VLOOKUP(A154,Macronutrients,11,FALSE)*E154+VLOOKUP(A155,Macronutrients,11,FALSE)*E155+VLOOKUP(A158,Micronutrients,11,FALSE)*E158+VLOOKUP(A159,Micronutrients,11,FALSE)*E159+VLOOKUP(A160,Micronutrients,11,FALSE)*E160</f>
        <v>0</v>
      </c>
      <c r="J162" s="722">
        <f>VLOOKUP(A153,Macronutrients,12,FALSE)*E153+VLOOKUP(A154,Macronutrients,12,FALSE)*E154+VLOOKUP(A155,Macronutrients,12,FALSE)*E155+VLOOKUP(A158,Micronutrients,12,FALSE)*E158+VLOOKUP(A159,Micronutrients,12,FALSE)*E159+VLOOKUP(A160,Micronutrients,12,FALSE)*E160</f>
        <v>0</v>
      </c>
      <c r="K162" s="723">
        <f>VLOOKUP(A153,Macronutrients,13,FALSE)*E153+VLOOKUP(A154,Macronutrients,13,FALSE)*E154+VLOOKUP(A155,Macronutrients,13,FALSE)*E155+VLOOKUP(A158,Micronutrients,13,FALSE)*E158+VLOOKUP(A159,Micronutrients,13,FALSE)*E159+VLOOKUP(A160,Micronutrients,13,FALSE)*E160</f>
        <v>0</v>
      </c>
      <c r="L162" s="732"/>
      <c r="M162" s="595"/>
      <c r="N162" s="821"/>
      <c r="O162" s="586"/>
      <c r="P162" s="821"/>
      <c r="Q162" s="596"/>
      <c r="R162" s="48"/>
      <c r="S162" s="736"/>
      <c r="T162" s="2"/>
      <c r="U162" s="722">
        <f>VLOOKUP(M153,Macronutrients,11,FALSE)*Q153+VLOOKUP(M154,Macronutrients,11,FALSE)*Q154+VLOOKUP(M155,Macronutrients,11,FALSE)*Q155+VLOOKUP(M158,Micronutrients,11,FALSE)*Q158+VLOOKUP(M159,Micronutrients,11,FALSE)*Q159+VLOOKUP(M160,Micronutrients,11,FALSE)*Q160</f>
        <v>0</v>
      </c>
      <c r="V162" s="722">
        <f>VLOOKUP(M153,Macronutrients,12,FALSE)*Q153+VLOOKUP(M154,Macronutrients,12,FALSE)*Q154+VLOOKUP(M155,Macronutrients,12,FALSE)*Q155+VLOOKUP(M158,Micronutrients,12,FALSE)*Q158+VLOOKUP(M159,Micronutrients,12,FALSE)*Q159+VLOOKUP(M160,Micronutrients,12,FALSE)*Q160</f>
        <v>0</v>
      </c>
      <c r="W162" s="723">
        <f>VLOOKUP(M153,Macronutrients,13,FALSE)*Q153+VLOOKUP(M154,Macronutrients,13,FALSE)*Q154+VLOOKUP(M155,Macronutrients,13,FALSE)*Q155+VLOOKUP(M158,Micronutrients,13,FALSE)*Q158+VLOOKUP(M159,Micronutrients,13,FALSE)*Q159+VLOOKUP(M160,Micronutrients,13,FALSE)*Q160</f>
        <v>0</v>
      </c>
      <c r="X162" s="1032"/>
      <c r="Y162" s="595"/>
      <c r="Z162" s="821"/>
      <c r="AA162" s="586"/>
      <c r="AB162" s="821"/>
      <c r="AC162" s="596"/>
      <c r="AD162" s="48"/>
      <c r="AE162" s="736"/>
      <c r="AF162" s="2"/>
      <c r="AG162" s="722">
        <f>VLOOKUP(Y153,Macronutrients,11,FALSE)*AC153+VLOOKUP(Y154,Macronutrients,11,FALSE)*AC154+VLOOKUP(Y155,Macronutrients,11,FALSE)*AC155+VLOOKUP(Y158,Micronutrients,11,FALSE)*AC158+VLOOKUP(Y159,Micronutrients,11,FALSE)*AC159+VLOOKUP(Y160,Micronutrients,11,FALSE)*AC160</f>
        <v>0</v>
      </c>
      <c r="AH162" s="722">
        <f>VLOOKUP(Y153,Macronutrients,12,FALSE)*AC153+VLOOKUP(Y154,Macronutrients,12,FALSE)*AC154+VLOOKUP(Y155,Macronutrients,12,FALSE)*AC155+VLOOKUP(Y158,Micronutrients,12,FALSE)*AC158+VLOOKUP(Y159,Micronutrients,12,FALSE)*AC159+VLOOKUP(Y160,Micronutrients,12,FALSE)*AC160</f>
        <v>0</v>
      </c>
      <c r="AI162" s="723">
        <f>VLOOKUP(Y153,Macronutrients,13,FALSE)*AC153+VLOOKUP(Y154,Macronutrients,13,FALSE)*AC154+VLOOKUP(Y155,Macronutrients,13,FALSE)*AC155+VLOOKUP(Y158,Micronutrients,13,FALSE)*AC158+VLOOKUP(Y159,Micronutrients,13,FALSE)*AC159+VLOOKUP(Y160,Micronutrients,13,FALSE)*AC160</f>
        <v>0</v>
      </c>
    </row>
    <row r="163" spans="1:35" s="51" customFormat="1" ht="16.350000000000001" customHeight="1">
      <c r="A163" s="105" t="s">
        <v>425</v>
      </c>
      <c r="B163" s="822"/>
      <c r="C163" s="823"/>
      <c r="D163" s="822"/>
      <c r="E163" s="824"/>
      <c r="F163" s="106"/>
      <c r="G163" s="826"/>
      <c r="H163" s="2"/>
      <c r="I163" s="825"/>
      <c r="J163" s="825"/>
      <c r="K163" s="724"/>
      <c r="L163" s="732"/>
      <c r="M163" s="105" t="s">
        <v>425</v>
      </c>
      <c r="N163" s="822"/>
      <c r="O163" s="823"/>
      <c r="P163" s="822"/>
      <c r="Q163" s="824"/>
      <c r="R163" s="106"/>
      <c r="S163" s="826"/>
      <c r="T163" s="2"/>
      <c r="U163" s="825"/>
      <c r="V163" s="825"/>
      <c r="W163" s="724"/>
      <c r="X163" s="1032"/>
      <c r="Y163" s="105" t="s">
        <v>425</v>
      </c>
      <c r="Z163" s="822"/>
      <c r="AA163" s="823"/>
      <c r="AB163" s="822"/>
      <c r="AC163" s="824"/>
      <c r="AD163" s="106"/>
      <c r="AE163" s="826"/>
      <c r="AF163" s="2"/>
      <c r="AG163" s="825"/>
      <c r="AH163" s="825"/>
      <c r="AI163" s="724"/>
    </row>
    <row r="164" spans="1:35" s="51" customFormat="1" ht="16.350000000000001" customHeight="1">
      <c r="A164" s="358" t="s">
        <v>13</v>
      </c>
      <c r="B164" s="585">
        <f>VLOOKUP(A164,NitrogenStabilizers,14,FALSE)</f>
        <v>0</v>
      </c>
      <c r="C164" s="586">
        <f>VLOOKUP(A164,NitrogenStabilizers,15,FALSE)</f>
        <v>0</v>
      </c>
      <c r="D164" s="585">
        <f>VLOOKUP(A164,NitrogenStabilizers,16,FALSE)</f>
        <v>1</v>
      </c>
      <c r="E164" s="587">
        <v>0</v>
      </c>
      <c r="F164" s="588">
        <f>VLOOKUP(A164,NitrogenStabilizers,15,FALSE)</f>
        <v>0</v>
      </c>
      <c r="G164" s="736">
        <f>(E164*VLOOKUP(A164,NitrogenStabilizers,14,FALSE)/D164)*C164</f>
        <v>0</v>
      </c>
      <c r="H164" s="2"/>
      <c r="I164" s="2"/>
      <c r="J164" s="2"/>
      <c r="K164" s="598"/>
      <c r="L164" s="732"/>
      <c r="M164" s="358" t="s">
        <v>13</v>
      </c>
      <c r="N164" s="585">
        <f>VLOOKUP(M164,NitrogenStabilizers,14,FALSE)</f>
        <v>0</v>
      </c>
      <c r="O164" s="586">
        <f>VLOOKUP(M164,NitrogenStabilizers,15,FALSE)</f>
        <v>0</v>
      </c>
      <c r="P164" s="585">
        <f>VLOOKUP(M164,NitrogenStabilizers,16,FALSE)</f>
        <v>1</v>
      </c>
      <c r="Q164" s="587">
        <v>0</v>
      </c>
      <c r="R164" s="588">
        <f>VLOOKUP(M164,NitrogenStabilizers,15,FALSE)</f>
        <v>0</v>
      </c>
      <c r="S164" s="736">
        <f>(Q164*VLOOKUP(M164,NitrogenStabilizers,14,FALSE)/P164)*O164</f>
        <v>0</v>
      </c>
      <c r="T164" s="2"/>
      <c r="U164" s="2"/>
      <c r="V164" s="2"/>
      <c r="W164" s="598"/>
      <c r="X164" s="1032"/>
      <c r="Y164" s="358" t="s">
        <v>13</v>
      </c>
      <c r="Z164" s="585">
        <f>VLOOKUP(Y164,NitrogenStabilizers,14,FALSE)</f>
        <v>0</v>
      </c>
      <c r="AA164" s="586">
        <f>VLOOKUP(Y164,NitrogenStabilizers,15,FALSE)</f>
        <v>0</v>
      </c>
      <c r="AB164" s="585">
        <f>VLOOKUP(Y164,NitrogenStabilizers,16,FALSE)</f>
        <v>1</v>
      </c>
      <c r="AC164" s="587">
        <v>0</v>
      </c>
      <c r="AD164" s="588">
        <f>VLOOKUP(Y164,NitrogenStabilizers,15,FALSE)</f>
        <v>0</v>
      </c>
      <c r="AE164" s="736">
        <f>(AC164*VLOOKUP(Y164,NitrogenStabilizers,14,FALSE)/AB164)*AA164</f>
        <v>0</v>
      </c>
      <c r="AF164" s="2"/>
      <c r="AG164" s="2"/>
      <c r="AH164" s="2"/>
      <c r="AI164" s="598"/>
    </row>
    <row r="165" spans="1:35" s="51" customFormat="1" ht="16.350000000000001" customHeight="1" thickBot="1">
      <c r="A165" s="599" t="s">
        <v>127</v>
      </c>
      <c r="B165" s="600"/>
      <c r="C165" s="600"/>
      <c r="D165" s="600"/>
      <c r="E165" s="601"/>
      <c r="F165" s="600"/>
      <c r="G165" s="602">
        <f>SUM(G153:G164)</f>
        <v>0</v>
      </c>
      <c r="H165" s="2"/>
      <c r="I165" s="2"/>
      <c r="J165" s="2"/>
      <c r="K165" s="598"/>
      <c r="L165" s="732"/>
      <c r="M165" s="599" t="s">
        <v>127</v>
      </c>
      <c r="N165" s="600"/>
      <c r="O165" s="600"/>
      <c r="P165" s="600"/>
      <c r="Q165" s="601"/>
      <c r="R165" s="600"/>
      <c r="S165" s="602">
        <f>SUM(S153:S164)</f>
        <v>0</v>
      </c>
      <c r="T165" s="2"/>
      <c r="U165" s="2"/>
      <c r="V165" s="2"/>
      <c r="W165" s="598"/>
      <c r="X165" s="1032"/>
      <c r="Y165" s="599" t="s">
        <v>127</v>
      </c>
      <c r="Z165" s="600"/>
      <c r="AA165" s="600"/>
      <c r="AB165" s="600"/>
      <c r="AC165" s="601"/>
      <c r="AD165" s="600"/>
      <c r="AE165" s="602">
        <f>SUM(AE153:AE164)</f>
        <v>0</v>
      </c>
      <c r="AF165" s="2"/>
      <c r="AG165" s="2"/>
      <c r="AH165" s="2"/>
      <c r="AI165" s="598"/>
    </row>
    <row r="166" spans="1:35" s="51" customFormat="1" ht="16.350000000000001" customHeight="1" thickTop="1" thickBot="1">
      <c r="A166" s="545"/>
      <c r="B166" s="118"/>
      <c r="C166" s="118"/>
      <c r="D166" s="118"/>
      <c r="E166" s="118"/>
      <c r="F166" s="118"/>
      <c r="G166" s="116"/>
      <c r="H166" s="2"/>
      <c r="I166" s="1036" t="s">
        <v>946</v>
      </c>
      <c r="J166" s="1037"/>
      <c r="K166" s="1038"/>
      <c r="L166" s="732"/>
      <c r="M166" s="545"/>
      <c r="N166" s="118"/>
      <c r="O166" s="118"/>
      <c r="P166" s="118"/>
      <c r="Q166" s="118"/>
      <c r="R166" s="118"/>
      <c r="S166" s="116"/>
      <c r="T166" s="2"/>
      <c r="U166" s="1036" t="s">
        <v>946</v>
      </c>
      <c r="V166" s="1037"/>
      <c r="W166" s="1038"/>
      <c r="X166" s="1032"/>
      <c r="Y166" s="545"/>
      <c r="Z166" s="118"/>
      <c r="AA166" s="118"/>
      <c r="AB166" s="118"/>
      <c r="AC166" s="118"/>
      <c r="AD166" s="118"/>
      <c r="AE166" s="116"/>
      <c r="AF166" s="2"/>
      <c r="AG166" s="1036" t="s">
        <v>946</v>
      </c>
      <c r="AH166" s="1037"/>
      <c r="AI166" s="1038"/>
    </row>
    <row r="167" spans="1:35" s="51" customFormat="1" ht="16.350000000000001" customHeight="1">
      <c r="A167" s="18"/>
      <c r="B167" s="2"/>
      <c r="C167" s="2"/>
      <c r="D167" s="2"/>
      <c r="E167" s="2"/>
      <c r="F167" s="2"/>
      <c r="G167" s="2"/>
      <c r="H167" s="2"/>
      <c r="I167" s="698" t="s">
        <v>96</v>
      </c>
      <c r="J167" s="609" t="s">
        <v>97</v>
      </c>
      <c r="K167" s="610" t="s">
        <v>98</v>
      </c>
      <c r="L167" s="732"/>
      <c r="M167" s="18"/>
      <c r="N167" s="2"/>
      <c r="O167" s="2"/>
      <c r="P167" s="2"/>
      <c r="Q167" s="2"/>
      <c r="R167" s="2"/>
      <c r="S167" s="2"/>
      <c r="T167" s="2"/>
      <c r="U167" s="698" t="s">
        <v>96</v>
      </c>
      <c r="V167" s="609" t="s">
        <v>97</v>
      </c>
      <c r="W167" s="610" t="s">
        <v>98</v>
      </c>
      <c r="X167" s="1032"/>
      <c r="Y167" s="18"/>
      <c r="Z167" s="2"/>
      <c r="AA167" s="2"/>
      <c r="AB167" s="2"/>
      <c r="AC167" s="2"/>
      <c r="AD167" s="2"/>
      <c r="AE167" s="2"/>
      <c r="AF167" s="2"/>
      <c r="AG167" s="698" t="s">
        <v>96</v>
      </c>
      <c r="AH167" s="609" t="s">
        <v>97</v>
      </c>
      <c r="AI167" s="610" t="s">
        <v>98</v>
      </c>
    </row>
    <row r="168" spans="1:35" s="51" customFormat="1" ht="16.350000000000001" customHeight="1">
      <c r="A168" s="91"/>
      <c r="B168" s="118"/>
      <c r="C168" s="118"/>
      <c r="D168" s="118"/>
      <c r="E168" s="118"/>
      <c r="F168" s="118"/>
      <c r="G168" s="116"/>
      <c r="H168" s="2"/>
      <c r="I168" s="816">
        <f>I153+I135+I117+I99+I81+I63+I45+I27+I6</f>
        <v>0</v>
      </c>
      <c r="J168" s="816">
        <f t="shared" ref="J168:K168" si="135">J153+J135+J117+J99+J81+J63+J45+J27+J6</f>
        <v>0</v>
      </c>
      <c r="K168" s="817">
        <f t="shared" si="135"/>
        <v>0</v>
      </c>
      <c r="L168" s="732"/>
      <c r="M168" s="91"/>
      <c r="N168" s="118"/>
      <c r="O168" s="118"/>
      <c r="P168" s="118"/>
      <c r="Q168" s="118"/>
      <c r="R168" s="118"/>
      <c r="S168" s="116"/>
      <c r="T168" s="2"/>
      <c r="U168" s="816">
        <f>U153+U135+U117+U99+U81+U63+U45+U27+U6</f>
        <v>0</v>
      </c>
      <c r="V168" s="816">
        <f t="shared" ref="V168:W168" si="136">V153+V135+V117+V99+V81+V63+V45+V27+V6</f>
        <v>0</v>
      </c>
      <c r="W168" s="817">
        <f t="shared" si="136"/>
        <v>0</v>
      </c>
      <c r="X168" s="1032"/>
      <c r="Y168" s="91"/>
      <c r="Z168" s="118"/>
      <c r="AA168" s="118"/>
      <c r="AB168" s="118"/>
      <c r="AC168" s="118"/>
      <c r="AD168" s="118"/>
      <c r="AE168" s="116"/>
      <c r="AF168" s="2"/>
      <c r="AG168" s="816">
        <f>AG153+AG135+AG117+AG99+AG81+AG63+AG45+AG27+AG6</f>
        <v>0</v>
      </c>
      <c r="AH168" s="816">
        <f t="shared" ref="AH168:AI168" si="137">AH153+AH135+AH117+AH99+AH81+AH63+AH45+AH27+AH6</f>
        <v>0</v>
      </c>
      <c r="AI168" s="817">
        <f t="shared" si="137"/>
        <v>0</v>
      </c>
    </row>
    <row r="169" spans="1:35" s="51" customFormat="1" ht="16.350000000000001" customHeight="1">
      <c r="A169" s="18"/>
      <c r="B169" s="2"/>
      <c r="C169" s="2"/>
      <c r="D169" s="2"/>
      <c r="E169" s="118"/>
      <c r="F169" s="118"/>
      <c r="G169" s="116"/>
      <c r="H169" s="2"/>
      <c r="I169" s="699" t="s">
        <v>99</v>
      </c>
      <c r="J169" s="607" t="s">
        <v>100</v>
      </c>
      <c r="K169" s="608" t="s">
        <v>101</v>
      </c>
      <c r="L169" s="732"/>
      <c r="M169" s="18"/>
      <c r="N169" s="2"/>
      <c r="O169" s="2"/>
      <c r="P169" s="2"/>
      <c r="Q169" s="118"/>
      <c r="R169" s="118"/>
      <c r="S169" s="116"/>
      <c r="T169" s="2"/>
      <c r="U169" s="699" t="s">
        <v>99</v>
      </c>
      <c r="V169" s="607" t="s">
        <v>100</v>
      </c>
      <c r="W169" s="608" t="s">
        <v>101</v>
      </c>
      <c r="X169" s="1032"/>
      <c r="Y169" s="18"/>
      <c r="Z169" s="2"/>
      <c r="AA169" s="2"/>
      <c r="AB169" s="2"/>
      <c r="AC169" s="118"/>
      <c r="AD169" s="118"/>
      <c r="AE169" s="116"/>
      <c r="AF169" s="2"/>
      <c r="AG169" s="699" t="s">
        <v>99</v>
      </c>
      <c r="AH169" s="607" t="s">
        <v>100</v>
      </c>
      <c r="AI169" s="608" t="s">
        <v>101</v>
      </c>
    </row>
    <row r="170" spans="1:35" s="51" customFormat="1" ht="16.350000000000001" customHeight="1">
      <c r="A170" s="18"/>
      <c r="B170" s="2"/>
      <c r="C170" s="2"/>
      <c r="D170" s="2"/>
      <c r="H170" s="2"/>
      <c r="I170" s="816">
        <f>I156+I138+I120+I102+I84+I66+I48+I30+I9</f>
        <v>0</v>
      </c>
      <c r="J170" s="816">
        <f>J156+J138+J120+J102+J84+J66+J48+J30+J9</f>
        <v>0</v>
      </c>
      <c r="K170" s="817">
        <f>K156+K138+K120+K102+K84+K66+K48+K30+K9</f>
        <v>0</v>
      </c>
      <c r="L170" s="732"/>
      <c r="M170" s="18"/>
      <c r="N170" s="2"/>
      <c r="O170" s="2"/>
      <c r="P170" s="2"/>
      <c r="T170" s="2"/>
      <c r="U170" s="816">
        <f>U156+U138+U120+U102+U84+U66+U48+U30+U9</f>
        <v>0</v>
      </c>
      <c r="V170" s="816">
        <f>V156+V138+V120+V102+V84+V66+V48+V30+V9</f>
        <v>0</v>
      </c>
      <c r="W170" s="817">
        <f>W156+W138+W120+W102+W84+W66+W48+W30+W9</f>
        <v>0</v>
      </c>
      <c r="X170" s="1032"/>
      <c r="Y170" s="18"/>
      <c r="Z170" s="2"/>
      <c r="AA170" s="2"/>
      <c r="AB170" s="2"/>
      <c r="AF170" s="2"/>
      <c r="AG170" s="816">
        <f>AG156+AG138+AG120+AG102+AG84+AG66+AG48+AG30+AG9</f>
        <v>0</v>
      </c>
      <c r="AH170" s="816">
        <f>AH156+AH138+AH120+AH102+AH84+AH66+AH48+AH30+AH9</f>
        <v>0</v>
      </c>
      <c r="AI170" s="817">
        <f>AI156+AI138+AI120+AI102+AI84+AI66+AI48+AI30+AI9</f>
        <v>0</v>
      </c>
    </row>
    <row r="171" spans="1:35" s="51" customFormat="1" ht="16.350000000000001" customHeight="1">
      <c r="A171" s="18"/>
      <c r="B171" s="2"/>
      <c r="C171" s="2"/>
      <c r="D171" s="2"/>
      <c r="E171" s="118"/>
      <c r="F171" s="118"/>
      <c r="G171" s="116"/>
      <c r="H171" s="2"/>
      <c r="I171" s="699" t="s">
        <v>102</v>
      </c>
      <c r="J171" s="607" t="s">
        <v>103</v>
      </c>
      <c r="K171" s="608" t="s">
        <v>104</v>
      </c>
      <c r="L171" s="732"/>
      <c r="M171" s="18"/>
      <c r="N171" s="2"/>
      <c r="O171" s="2"/>
      <c r="P171" s="2"/>
      <c r="Q171" s="118"/>
      <c r="R171" s="118"/>
      <c r="S171" s="116"/>
      <c r="T171" s="2"/>
      <c r="U171" s="699" t="s">
        <v>102</v>
      </c>
      <c r="V171" s="607" t="s">
        <v>103</v>
      </c>
      <c r="W171" s="608" t="s">
        <v>104</v>
      </c>
      <c r="X171" s="1032"/>
      <c r="Y171" s="18"/>
      <c r="Z171" s="2"/>
      <c r="AA171" s="2"/>
      <c r="AB171" s="2"/>
      <c r="AC171" s="118"/>
      <c r="AD171" s="118"/>
      <c r="AE171" s="116"/>
      <c r="AF171" s="2"/>
      <c r="AG171" s="699" t="s">
        <v>102</v>
      </c>
      <c r="AH171" s="607" t="s">
        <v>103</v>
      </c>
      <c r="AI171" s="608" t="s">
        <v>104</v>
      </c>
    </row>
    <row r="172" spans="1:35" s="51" customFormat="1" ht="16.350000000000001" customHeight="1">
      <c r="A172" s="18"/>
      <c r="B172" s="2"/>
      <c r="C172" s="2"/>
      <c r="D172" s="2"/>
      <c r="H172" s="2"/>
      <c r="I172" s="816">
        <f>I159+I141+I123+I105+I87+I69+I51+I33+I12</f>
        <v>0</v>
      </c>
      <c r="J172" s="816">
        <f>J159+J141+J123+J105+J87+J69+J51+J33+J12</f>
        <v>0</v>
      </c>
      <c r="K172" s="817">
        <f>K159+K141+K123+K105+K87+K69+K51+K33+K12</f>
        <v>0</v>
      </c>
      <c r="L172" s="732"/>
      <c r="M172" s="18"/>
      <c r="N172" s="2"/>
      <c r="O172" s="2"/>
      <c r="P172" s="2"/>
      <c r="T172" s="2"/>
      <c r="U172" s="816">
        <f>U159+U141+U123+U105+U87+U69+U51+U33+U12</f>
        <v>0</v>
      </c>
      <c r="V172" s="816">
        <f>V159+V141+V123+V105+V87+V69+V51+V33+V12</f>
        <v>0</v>
      </c>
      <c r="W172" s="817">
        <f>W159+W141+W123+W105+W87+W69+W51+W33+W12</f>
        <v>0</v>
      </c>
      <c r="X172" s="1032"/>
      <c r="Y172" s="18"/>
      <c r="Z172" s="2"/>
      <c r="AA172" s="2"/>
      <c r="AB172" s="2"/>
      <c r="AF172" s="2"/>
      <c r="AG172" s="816">
        <f>AG159+AG141+AG123+AG105+AG87+AG69+AG51+AG33+AG12</f>
        <v>0</v>
      </c>
      <c r="AH172" s="816">
        <f>AH159+AH141+AH123+AH105+AH87+AH69+AH51+AH33+AH12</f>
        <v>0</v>
      </c>
      <c r="AI172" s="817">
        <f>AI159+AI141+AI123+AI105+AI87+AI69+AI51+AI33+AI12</f>
        <v>0</v>
      </c>
    </row>
    <row r="173" spans="1:35" s="51" customFormat="1" ht="16.350000000000001" customHeight="1">
      <c r="A173" s="18"/>
      <c r="B173" s="2"/>
      <c r="C173" s="2"/>
      <c r="D173" s="2"/>
      <c r="E173" s="118"/>
      <c r="F173" s="118"/>
      <c r="G173" s="116"/>
      <c r="H173" s="2"/>
      <c r="I173" s="699" t="s">
        <v>886</v>
      </c>
      <c r="J173" s="607" t="s">
        <v>887</v>
      </c>
      <c r="K173" s="608" t="s">
        <v>888</v>
      </c>
      <c r="L173" s="732"/>
      <c r="M173" s="18"/>
      <c r="N173" s="2"/>
      <c r="O173" s="2"/>
      <c r="P173" s="2"/>
      <c r="Q173" s="118"/>
      <c r="R173" s="118"/>
      <c r="S173" s="116"/>
      <c r="T173" s="2"/>
      <c r="U173" s="699" t="s">
        <v>886</v>
      </c>
      <c r="V173" s="607" t="s">
        <v>887</v>
      </c>
      <c r="W173" s="608" t="s">
        <v>888</v>
      </c>
      <c r="X173" s="1032"/>
      <c r="Y173" s="18"/>
      <c r="Z173" s="2"/>
      <c r="AA173" s="2"/>
      <c r="AB173" s="2"/>
      <c r="AC173" s="118"/>
      <c r="AD173" s="118"/>
      <c r="AE173" s="116"/>
      <c r="AF173" s="2"/>
      <c r="AG173" s="699" t="s">
        <v>886</v>
      </c>
      <c r="AH173" s="607" t="s">
        <v>887</v>
      </c>
      <c r="AI173" s="608" t="s">
        <v>888</v>
      </c>
    </row>
    <row r="174" spans="1:35" s="51" customFormat="1" ht="16.350000000000001" customHeight="1" thickBot="1">
      <c r="A174" s="828" t="s">
        <v>947</v>
      </c>
      <c r="B174" s="600"/>
      <c r="C174" s="600"/>
      <c r="D174" s="600"/>
      <c r="E174" s="600"/>
      <c r="F174" s="600"/>
      <c r="G174" s="602">
        <f>G165+G147+G129+G111+G93+G75+G57+G39+G21</f>
        <v>0</v>
      </c>
      <c r="H174" s="2"/>
      <c r="I174" s="818">
        <f>I162+I144+I126+I108+I90+I72+I54+I36+I15</f>
        <v>0</v>
      </c>
      <c r="J174" s="818">
        <f>J162+J144+J126+J108+J90+J72+J54+J36+J15</f>
        <v>0</v>
      </c>
      <c r="K174" s="819">
        <f>K162+K144+K126+K108+K90+K72+K54+K36+K15</f>
        <v>0</v>
      </c>
      <c r="L174" s="732"/>
      <c r="M174" s="828" t="s">
        <v>947</v>
      </c>
      <c r="N174" s="600"/>
      <c r="O174" s="600"/>
      <c r="P174" s="600"/>
      <c r="Q174" s="600"/>
      <c r="R174" s="600"/>
      <c r="S174" s="602">
        <f>S165+S147+S129+S111+S93+S75+S57+S39+S21</f>
        <v>0</v>
      </c>
      <c r="T174" s="2"/>
      <c r="U174" s="818">
        <f>U162+U144+U126+U108+U90+U72+U54+U36+U15</f>
        <v>0</v>
      </c>
      <c r="V174" s="818">
        <f>V162+V144+V126+V108+V90+V72+V54+V36+V15</f>
        <v>0</v>
      </c>
      <c r="W174" s="819">
        <f>W162+W144+W126+W108+W90+W72+W54+W36+W15</f>
        <v>0</v>
      </c>
      <c r="X174" s="1032"/>
      <c r="Y174" s="828" t="s">
        <v>947</v>
      </c>
      <c r="Z174" s="600"/>
      <c r="AA174" s="600"/>
      <c r="AB174" s="600"/>
      <c r="AC174" s="600"/>
      <c r="AD174" s="600"/>
      <c r="AE174" s="602">
        <f>AE165+AE147+AE129+AE111+AE93+AE75+AE57+AE39+AE21</f>
        <v>0</v>
      </c>
      <c r="AF174" s="2"/>
      <c r="AG174" s="818">
        <f>AG162+AG144+AG126+AG108+AG90+AG72+AG54+AG36+AG15</f>
        <v>0</v>
      </c>
      <c r="AH174" s="818">
        <f>AH162+AH144+AH126+AH108+AH90+AH72+AH54+AH36+AH15</f>
        <v>0</v>
      </c>
      <c r="AI174" s="819">
        <f>AI162+AI144+AI126+AI108+AI90+AI72+AI54+AI36+AI15</f>
        <v>0</v>
      </c>
    </row>
    <row r="175" spans="1:35" s="51" customFormat="1" ht="16.350000000000001" customHeight="1" thickTop="1">
      <c r="A175" s="18"/>
      <c r="B175" s="2"/>
      <c r="C175" s="2"/>
      <c r="D175" s="2"/>
      <c r="E175" s="118"/>
      <c r="F175" s="118"/>
      <c r="G175" s="116"/>
      <c r="H175" s="2"/>
      <c r="K175" s="49"/>
      <c r="L175" s="732"/>
      <c r="M175" s="18"/>
      <c r="N175" s="2"/>
      <c r="O175" s="2"/>
      <c r="P175" s="2"/>
      <c r="Q175" s="118"/>
      <c r="R175" s="118"/>
      <c r="S175" s="116"/>
      <c r="T175" s="2"/>
      <c r="W175" s="49"/>
      <c r="X175" s="1032"/>
      <c r="Y175" s="18"/>
      <c r="Z175" s="2"/>
      <c r="AA175" s="2"/>
      <c r="AB175" s="2"/>
      <c r="AC175" s="118"/>
      <c r="AD175" s="118"/>
      <c r="AE175" s="116"/>
      <c r="AF175" s="2"/>
      <c r="AI175" s="49"/>
    </row>
    <row r="176" spans="1:35" s="51" customFormat="1" ht="16.350000000000001" customHeight="1" thickBot="1">
      <c r="A176" s="18"/>
      <c r="B176" s="2"/>
      <c r="C176" s="2"/>
      <c r="D176" s="2"/>
      <c r="E176" s="118"/>
      <c r="F176" s="118"/>
      <c r="G176" s="116"/>
      <c r="H176" s="2"/>
      <c r="K176" s="49"/>
      <c r="L176" s="732"/>
      <c r="M176" s="18"/>
      <c r="N176" s="2"/>
      <c r="O176" s="2"/>
      <c r="P176" s="2"/>
      <c r="Q176" s="118"/>
      <c r="R176" s="118"/>
      <c r="S176" s="116"/>
      <c r="T176" s="2"/>
      <c r="W176" s="49"/>
      <c r="X176" s="1032"/>
      <c r="Y176" s="18"/>
      <c r="Z176" s="2"/>
      <c r="AA176" s="2"/>
      <c r="AB176" s="2"/>
      <c r="AC176" s="118"/>
      <c r="AD176" s="118"/>
      <c r="AE176" s="116"/>
      <c r="AF176" s="2"/>
      <c r="AI176" s="49"/>
    </row>
    <row r="177" spans="1:35" s="51" customFormat="1" ht="15.75">
      <c r="A177" s="727"/>
      <c r="B177" s="6"/>
      <c r="C177" s="6"/>
      <c r="D177" s="6"/>
      <c r="E177" s="118"/>
      <c r="F177" s="118"/>
      <c r="G177" s="116"/>
      <c r="H177" s="2"/>
      <c r="I177" s="1033" t="s">
        <v>405</v>
      </c>
      <c r="J177" s="1034"/>
      <c r="K177" s="1035"/>
      <c r="M177" s="727"/>
      <c r="N177" s="6"/>
      <c r="O177" s="6"/>
      <c r="P177" s="6"/>
      <c r="Q177" s="118"/>
      <c r="R177" s="118"/>
      <c r="S177" s="116"/>
      <c r="T177" s="2"/>
      <c r="U177" s="1033" t="s">
        <v>405</v>
      </c>
      <c r="V177" s="1034"/>
      <c r="W177" s="1035"/>
      <c r="X177" s="1032"/>
      <c r="Y177" s="727"/>
      <c r="Z177" s="6"/>
      <c r="AA177" s="6"/>
      <c r="AB177" s="6"/>
      <c r="AC177" s="118"/>
      <c r="AD177" s="118"/>
      <c r="AE177" s="116"/>
      <c r="AF177" s="2"/>
      <c r="AG177" s="1033" t="s">
        <v>405</v>
      </c>
      <c r="AH177" s="1034"/>
      <c r="AI177" s="1035"/>
    </row>
    <row r="178" spans="1:35" s="51" customFormat="1" ht="15.75">
      <c r="A178" s="727"/>
      <c r="B178" s="6"/>
      <c r="C178" s="6"/>
      <c r="D178" s="6"/>
      <c r="E178" s="118"/>
      <c r="F178" s="118"/>
      <c r="G178" s="116"/>
      <c r="H178" s="2"/>
      <c r="I178" s="700" t="s">
        <v>588</v>
      </c>
      <c r="J178" s="1024" t="s">
        <v>511</v>
      </c>
      <c r="K178" s="1025"/>
      <c r="L178" s="2"/>
      <c r="M178" s="727"/>
      <c r="N178" s="6"/>
      <c r="O178" s="6"/>
      <c r="P178" s="6"/>
      <c r="Q178" s="118"/>
      <c r="R178" s="118"/>
      <c r="S178" s="116"/>
      <c r="T178" s="2"/>
      <c r="U178" s="700" t="s">
        <v>588</v>
      </c>
      <c r="V178" s="1024" t="s">
        <v>511</v>
      </c>
      <c r="W178" s="1025"/>
      <c r="X178" s="2"/>
      <c r="Y178" s="727"/>
      <c r="Z178" s="6"/>
      <c r="AA178" s="6"/>
      <c r="AB178" s="6"/>
      <c r="AC178" s="118"/>
      <c r="AD178" s="118"/>
      <c r="AE178" s="116"/>
      <c r="AF178" s="2"/>
      <c r="AG178" s="700" t="s">
        <v>588</v>
      </c>
      <c r="AH178" s="1024" t="s">
        <v>511</v>
      </c>
      <c r="AI178" s="1025"/>
    </row>
    <row r="179" spans="1:35" s="51" customFormat="1" ht="15.75">
      <c r="A179" s="727"/>
      <c r="B179" s="6"/>
      <c r="C179" s="6"/>
      <c r="D179" s="6"/>
      <c r="E179" s="118"/>
      <c r="F179" s="118"/>
      <c r="G179" s="116"/>
      <c r="H179" s="2"/>
      <c r="I179" s="698" t="s">
        <v>96</v>
      </c>
      <c r="J179" s="609" t="s">
        <v>97</v>
      </c>
      <c r="K179" s="610" t="s">
        <v>98</v>
      </c>
      <c r="L179" s="2"/>
      <c r="M179" s="727"/>
      <c r="N179" s="6"/>
      <c r="O179" s="6"/>
      <c r="P179" s="6"/>
      <c r="Q179" s="118"/>
      <c r="R179" s="118"/>
      <c r="S179" s="116"/>
      <c r="T179" s="2"/>
      <c r="U179" s="698" t="s">
        <v>96</v>
      </c>
      <c r="V179" s="609" t="s">
        <v>97</v>
      </c>
      <c r="W179" s="610" t="s">
        <v>98</v>
      </c>
      <c r="X179" s="52"/>
      <c r="Y179" s="727"/>
      <c r="Z179" s="6"/>
      <c r="AA179" s="6"/>
      <c r="AB179" s="6"/>
      <c r="AC179" s="118"/>
      <c r="AD179" s="118"/>
      <c r="AE179" s="116"/>
      <c r="AF179" s="2"/>
      <c r="AG179" s="698" t="s">
        <v>96</v>
      </c>
      <c r="AH179" s="609" t="s">
        <v>97</v>
      </c>
      <c r="AI179" s="610" t="s">
        <v>98</v>
      </c>
    </row>
    <row r="180" spans="1:35" s="51" customFormat="1" ht="15.75">
      <c r="A180" s="827"/>
      <c r="H180" s="2"/>
      <c r="I180" s="701">
        <f>'Nutrient Management'!B57</f>
        <v>0</v>
      </c>
      <c r="J180" s="701">
        <f>'Nutrient Management'!C57</f>
        <v>0</v>
      </c>
      <c r="K180" s="702">
        <f>'Nutrient Management'!D57</f>
        <v>0</v>
      </c>
      <c r="M180" s="827"/>
      <c r="T180" s="2"/>
      <c r="U180" s="701">
        <f>'Nutrient Management'!F57</f>
        <v>0</v>
      </c>
      <c r="V180" s="701">
        <f>'Nutrient Management'!G57</f>
        <v>0</v>
      </c>
      <c r="W180" s="702">
        <f>'Nutrient Management'!H57</f>
        <v>0</v>
      </c>
      <c r="X180" s="591"/>
      <c r="Y180" s="827"/>
      <c r="AF180" s="2"/>
      <c r="AG180" s="701">
        <f>'Nutrient Management'!J57</f>
        <v>0</v>
      </c>
      <c r="AH180" s="701">
        <f>'Nutrient Management'!K57</f>
        <v>0</v>
      </c>
      <c r="AI180" s="702">
        <f>'Nutrient Management'!L57</f>
        <v>0</v>
      </c>
    </row>
    <row r="181" spans="1:35" s="51" customFormat="1" ht="15.75">
      <c r="A181" s="727"/>
      <c r="B181" s="6"/>
      <c r="C181" s="6"/>
      <c r="D181" s="6"/>
      <c r="E181" s="118"/>
      <c r="F181" s="118"/>
      <c r="G181" s="116"/>
      <c r="H181" s="2"/>
      <c r="I181" s="699" t="s">
        <v>99</v>
      </c>
      <c r="J181" s="607" t="s">
        <v>100</v>
      </c>
      <c r="K181" s="608" t="s">
        <v>101</v>
      </c>
      <c r="M181" s="727"/>
      <c r="N181" s="6"/>
      <c r="O181" s="6"/>
      <c r="P181" s="6"/>
      <c r="Q181" s="118"/>
      <c r="R181" s="118"/>
      <c r="S181" s="116"/>
      <c r="T181" s="2"/>
      <c r="U181" s="699" t="s">
        <v>99</v>
      </c>
      <c r="V181" s="607" t="s">
        <v>100</v>
      </c>
      <c r="W181" s="608" t="s">
        <v>101</v>
      </c>
      <c r="X181" s="201"/>
      <c r="Y181" s="727"/>
      <c r="Z181" s="6"/>
      <c r="AA181" s="6"/>
      <c r="AB181" s="6"/>
      <c r="AC181" s="118"/>
      <c r="AD181" s="118"/>
      <c r="AE181" s="116"/>
      <c r="AF181" s="2"/>
      <c r="AG181" s="699" t="s">
        <v>99</v>
      </c>
      <c r="AH181" s="607" t="s">
        <v>100</v>
      </c>
      <c r="AI181" s="608" t="s">
        <v>101</v>
      </c>
    </row>
    <row r="182" spans="1:35" s="51" customFormat="1" ht="15.75">
      <c r="A182" s="727"/>
      <c r="B182" s="6"/>
      <c r="C182" s="6"/>
      <c r="D182" s="6"/>
      <c r="E182" s="118"/>
      <c r="F182" s="118"/>
      <c r="G182" s="116"/>
      <c r="H182" s="49"/>
      <c r="I182" s="701">
        <f>'Nutrient Management'!B60</f>
        <v>0</v>
      </c>
      <c r="J182" s="701">
        <f>'Nutrient Management'!C60</f>
        <v>0</v>
      </c>
      <c r="K182" s="702">
        <f>'Nutrient Management'!D60</f>
        <v>0</v>
      </c>
      <c r="M182" s="727"/>
      <c r="N182" s="6"/>
      <c r="O182" s="6"/>
      <c r="P182" s="6"/>
      <c r="Q182" s="118"/>
      <c r="R182" s="118"/>
      <c r="S182" s="116"/>
      <c r="T182" s="49"/>
      <c r="U182" s="701">
        <f>'Nutrient Management'!F60</f>
        <v>0</v>
      </c>
      <c r="V182" s="701">
        <f>'Nutrient Management'!G60</f>
        <v>0</v>
      </c>
      <c r="W182" s="702">
        <f>'Nutrient Management'!H60</f>
        <v>0</v>
      </c>
      <c r="X182" s="594"/>
      <c r="Y182" s="727"/>
      <c r="Z182" s="6"/>
      <c r="AA182" s="6"/>
      <c r="AB182" s="6"/>
      <c r="AC182" s="118"/>
      <c r="AD182" s="118"/>
      <c r="AE182" s="116"/>
      <c r="AF182" s="49"/>
      <c r="AG182" s="701">
        <f>'Nutrient Management'!J60</f>
        <v>0</v>
      </c>
      <c r="AH182" s="701">
        <f>'Nutrient Management'!K60</f>
        <v>0</v>
      </c>
      <c r="AI182" s="702">
        <f>'Nutrient Management'!L60</f>
        <v>0</v>
      </c>
    </row>
    <row r="183" spans="1:35" s="51" customFormat="1" ht="15.75">
      <c r="A183" s="727"/>
      <c r="B183" s="6"/>
      <c r="C183" s="6"/>
      <c r="D183" s="6"/>
      <c r="E183" s="6"/>
      <c r="F183" s="6"/>
      <c r="G183" s="6"/>
      <c r="H183" s="726"/>
      <c r="I183" s="699" t="s">
        <v>589</v>
      </c>
      <c r="J183" s="607" t="s">
        <v>103</v>
      </c>
      <c r="K183" s="608" t="s">
        <v>104</v>
      </c>
      <c r="L183" s="594"/>
      <c r="M183" s="727"/>
      <c r="N183" s="6"/>
      <c r="O183" s="6"/>
      <c r="P183" s="6"/>
      <c r="Q183" s="6"/>
      <c r="R183" s="6"/>
      <c r="S183" s="6"/>
      <c r="T183" s="726"/>
      <c r="U183" s="699" t="s">
        <v>589</v>
      </c>
      <c r="V183" s="607" t="s">
        <v>103</v>
      </c>
      <c r="W183" s="608" t="s">
        <v>104</v>
      </c>
      <c r="X183" s="591"/>
      <c r="Y183" s="727"/>
      <c r="Z183" s="6"/>
      <c r="AA183" s="6"/>
      <c r="AB183" s="6"/>
      <c r="AC183" s="6"/>
      <c r="AD183" s="6"/>
      <c r="AE183" s="6"/>
      <c r="AF183" s="726"/>
      <c r="AG183" s="699" t="s">
        <v>589</v>
      </c>
      <c r="AH183" s="607" t="s">
        <v>103</v>
      </c>
      <c r="AI183" s="608" t="s">
        <v>104</v>
      </c>
    </row>
    <row r="184" spans="1:35" s="51" customFormat="1" ht="16.5" thickBot="1">
      <c r="A184" s="827"/>
      <c r="H184" s="6"/>
      <c r="I184" s="703">
        <f>'Nutrient Management'!B62</f>
        <v>0</v>
      </c>
      <c r="J184" s="703">
        <f>'Nutrient Management'!C62</f>
        <v>0</v>
      </c>
      <c r="K184" s="704">
        <f>'Nutrient Management'!D62</f>
        <v>0</v>
      </c>
      <c r="L184" s="591"/>
      <c r="M184" s="827"/>
      <c r="T184" s="6"/>
      <c r="U184" s="703">
        <f>'Nutrient Management'!F62</f>
        <v>0</v>
      </c>
      <c r="V184" s="703">
        <f>'Nutrient Management'!G62</f>
        <v>0</v>
      </c>
      <c r="W184" s="704">
        <f>'Nutrient Management'!H62</f>
        <v>0</v>
      </c>
      <c r="X184" s="201"/>
      <c r="Y184" s="827"/>
      <c r="AF184" s="6"/>
      <c r="AG184" s="703">
        <f>'Nutrient Management'!J62</f>
        <v>0</v>
      </c>
      <c r="AH184" s="703">
        <f>'Nutrient Management'!K62</f>
        <v>0</v>
      </c>
      <c r="AI184" s="704">
        <f>'Nutrient Management'!L62</f>
        <v>0</v>
      </c>
    </row>
    <row r="185" spans="1:35" s="51" customFormat="1" ht="15.75">
      <c r="A185" s="727"/>
      <c r="B185" s="6"/>
      <c r="C185" s="6"/>
      <c r="D185" s="6"/>
      <c r="E185" s="6"/>
      <c r="F185" s="6"/>
      <c r="G185" s="6"/>
      <c r="H185" s="6"/>
      <c r="I185" s="699" t="s">
        <v>886</v>
      </c>
      <c r="J185" s="607" t="s">
        <v>887</v>
      </c>
      <c r="K185" s="608" t="s">
        <v>888</v>
      </c>
      <c r="M185" s="727"/>
      <c r="N185" s="6"/>
      <c r="O185" s="6"/>
      <c r="P185" s="6"/>
      <c r="Q185" s="6"/>
      <c r="R185" s="6"/>
      <c r="S185" s="6"/>
      <c r="T185" s="6"/>
      <c r="U185" s="699" t="s">
        <v>886</v>
      </c>
      <c r="V185" s="607" t="s">
        <v>887</v>
      </c>
      <c r="W185" s="608" t="s">
        <v>888</v>
      </c>
      <c r="X185" s="594"/>
      <c r="Y185" s="727"/>
      <c r="Z185" s="6"/>
      <c r="AA185" s="6"/>
      <c r="AB185" s="6"/>
      <c r="AC185" s="6"/>
      <c r="AD185" s="6"/>
      <c r="AE185" s="6"/>
      <c r="AF185" s="6"/>
      <c r="AG185" s="699" t="s">
        <v>886</v>
      </c>
      <c r="AH185" s="607" t="s">
        <v>887</v>
      </c>
      <c r="AI185" s="608" t="s">
        <v>888</v>
      </c>
    </row>
    <row r="186" spans="1:35" s="51" customFormat="1" ht="16.5" thickBot="1">
      <c r="A186" s="728"/>
      <c r="B186" s="729"/>
      <c r="C186" s="729"/>
      <c r="D186" s="729"/>
      <c r="E186" s="730"/>
      <c r="F186" s="730"/>
      <c r="G186" s="731"/>
      <c r="H186" s="729"/>
      <c r="I186" s="703">
        <f>'Nutrient Management'!B64</f>
        <v>0</v>
      </c>
      <c r="J186" s="703">
        <f>'Nutrient Management'!C64</f>
        <v>0</v>
      </c>
      <c r="K186" s="704">
        <f>'Nutrient Management'!D64</f>
        <v>0</v>
      </c>
      <c r="L186" s="594"/>
      <c r="M186" s="728"/>
      <c r="N186" s="729"/>
      <c r="O186" s="729"/>
      <c r="P186" s="729"/>
      <c r="Q186" s="730"/>
      <c r="R186" s="730"/>
      <c r="S186" s="731"/>
      <c r="T186" s="729"/>
      <c r="U186" s="703">
        <f>'Nutrient Management'!F64</f>
        <v>0</v>
      </c>
      <c r="V186" s="703">
        <f>'Nutrient Management'!G64</f>
        <v>0</v>
      </c>
      <c r="W186" s="704">
        <f>'Nutrient Management'!H64</f>
        <v>0</v>
      </c>
      <c r="X186" s="597"/>
      <c r="Y186" s="728"/>
      <c r="Z186" s="729"/>
      <c r="AA186" s="729"/>
      <c r="AB186" s="729"/>
      <c r="AC186" s="730"/>
      <c r="AD186" s="730"/>
      <c r="AE186" s="731"/>
      <c r="AF186" s="729"/>
      <c r="AG186" s="703">
        <f>'Nutrient Management'!J64</f>
        <v>0</v>
      </c>
      <c r="AH186" s="703">
        <f>'Nutrient Management'!K64</f>
        <v>0</v>
      </c>
      <c r="AI186" s="704">
        <f>'Nutrient Management'!L64</f>
        <v>0</v>
      </c>
    </row>
    <row r="187" spans="1:35" s="51" customFormat="1" ht="15.75">
      <c r="A187" s="6"/>
      <c r="B187" s="6"/>
      <c r="C187" s="6"/>
      <c r="D187" s="6"/>
      <c r="E187" s="6"/>
      <c r="F187" s="6"/>
      <c r="G187" s="6"/>
      <c r="H187" s="6"/>
      <c r="I187" s="6"/>
      <c r="J187" s="6"/>
      <c r="K187" s="6"/>
      <c r="L187" s="591"/>
      <c r="M187" s="6"/>
      <c r="N187" s="6"/>
      <c r="O187" s="6"/>
      <c r="P187" s="6"/>
      <c r="Q187" s="6"/>
      <c r="R187" s="6"/>
      <c r="S187" s="6"/>
      <c r="T187" s="6"/>
      <c r="U187" s="6"/>
      <c r="V187" s="6"/>
      <c r="W187" s="6"/>
      <c r="Y187" s="6"/>
      <c r="Z187" s="6"/>
      <c r="AA187" s="6"/>
      <c r="AB187" s="6"/>
      <c r="AC187" s="6"/>
      <c r="AD187" s="6"/>
      <c r="AE187" s="6"/>
      <c r="AF187" s="6"/>
      <c r="AG187" s="6"/>
      <c r="AH187" s="6"/>
      <c r="AI187" s="6"/>
    </row>
    <row r="188" spans="1:35" s="51" customFormat="1" ht="15.75">
      <c r="A188" s="6"/>
      <c r="B188" s="6"/>
      <c r="C188" s="6"/>
      <c r="D188" s="6"/>
      <c r="E188" s="6"/>
      <c r="F188" s="6"/>
      <c r="G188" s="6"/>
      <c r="H188" s="6"/>
      <c r="I188" s="6"/>
      <c r="J188" s="6"/>
      <c r="K188" s="6"/>
      <c r="L188" s="591"/>
      <c r="M188" s="6"/>
      <c r="N188" s="6"/>
      <c r="O188" s="6"/>
      <c r="P188" s="6"/>
      <c r="Q188" s="6"/>
      <c r="R188" s="6"/>
      <c r="S188" s="6"/>
      <c r="T188" s="6"/>
      <c r="U188" s="6"/>
      <c r="V188" s="6"/>
      <c r="W188" s="6"/>
      <c r="Y188" s="6"/>
      <c r="Z188" s="6"/>
      <c r="AA188" s="6"/>
      <c r="AB188" s="6"/>
      <c r="AC188" s="6"/>
      <c r="AD188" s="6"/>
      <c r="AE188" s="6"/>
      <c r="AF188" s="6"/>
      <c r="AG188" s="6"/>
      <c r="AH188" s="6"/>
      <c r="AI188" s="6"/>
    </row>
    <row r="189" spans="1:35" s="51" customFormat="1" ht="15.75">
      <c r="A189" s="6"/>
      <c r="B189" s="6"/>
      <c r="C189" s="6"/>
      <c r="D189" s="6"/>
      <c r="E189" s="6"/>
      <c r="F189" s="6"/>
      <c r="G189" s="6"/>
      <c r="H189" s="6"/>
      <c r="I189" s="6"/>
      <c r="J189" s="6"/>
      <c r="K189" s="6"/>
      <c r="L189" s="594"/>
      <c r="M189" s="6"/>
      <c r="N189" s="6"/>
      <c r="O189" s="6"/>
      <c r="P189" s="6"/>
      <c r="Q189" s="6"/>
      <c r="R189" s="6"/>
      <c r="S189" s="6"/>
      <c r="T189" s="6"/>
      <c r="U189" s="6"/>
      <c r="V189" s="6"/>
      <c r="W189" s="6"/>
      <c r="Y189" s="6"/>
      <c r="Z189" s="6"/>
      <c r="AA189" s="6"/>
      <c r="AB189" s="6"/>
      <c r="AC189" s="6"/>
      <c r="AD189" s="6"/>
      <c r="AE189" s="6"/>
      <c r="AF189" s="6"/>
      <c r="AG189" s="6"/>
      <c r="AH189" s="6"/>
      <c r="AI189" s="6"/>
    </row>
    <row r="190" spans="1:35" s="51" customFormat="1" ht="15.75">
      <c r="A190" s="6"/>
      <c r="B190" s="6"/>
      <c r="C190" s="6"/>
      <c r="D190" s="6"/>
      <c r="E190" s="6"/>
      <c r="F190" s="6"/>
      <c r="G190" s="6"/>
      <c r="H190" s="6"/>
      <c r="I190" s="6"/>
      <c r="J190" s="6"/>
      <c r="K190" s="6"/>
      <c r="L190" s="597"/>
      <c r="M190" s="6"/>
      <c r="N190" s="6"/>
      <c r="O190" s="6"/>
      <c r="P190" s="6"/>
      <c r="Q190" s="6"/>
      <c r="R190" s="6"/>
      <c r="S190" s="6"/>
      <c r="T190" s="6"/>
      <c r="U190" s="6"/>
      <c r="V190" s="6"/>
      <c r="W190" s="6"/>
      <c r="Y190" s="6"/>
      <c r="Z190" s="6"/>
      <c r="AA190" s="6"/>
      <c r="AB190" s="6"/>
      <c r="AC190" s="6"/>
      <c r="AD190" s="6"/>
      <c r="AE190" s="6"/>
      <c r="AF190" s="6"/>
      <c r="AG190" s="6"/>
      <c r="AH190" s="6"/>
      <c r="AI190" s="6"/>
    </row>
    <row r="191" spans="1:35" s="51" customFormat="1" ht="15.75">
      <c r="A191" s="6"/>
      <c r="B191" s="6"/>
      <c r="C191" s="6"/>
      <c r="D191" s="6"/>
      <c r="E191" s="6"/>
      <c r="F191" s="6"/>
      <c r="G191" s="6"/>
      <c r="H191" s="6"/>
      <c r="I191" s="6"/>
      <c r="J191" s="6"/>
      <c r="K191" s="6"/>
      <c r="M191" s="6"/>
      <c r="N191" s="6"/>
      <c r="O191" s="6"/>
      <c r="P191" s="6"/>
      <c r="Q191" s="6"/>
      <c r="R191" s="6"/>
      <c r="S191" s="6"/>
      <c r="T191" s="6"/>
      <c r="U191" s="6"/>
      <c r="V191" s="6"/>
      <c r="W191" s="6"/>
      <c r="Y191" s="6"/>
      <c r="Z191" s="6"/>
      <c r="AA191" s="6"/>
      <c r="AB191" s="6"/>
      <c r="AC191" s="6"/>
      <c r="AD191" s="6"/>
      <c r="AE191" s="6"/>
      <c r="AF191" s="6"/>
      <c r="AG191" s="6"/>
      <c r="AH191" s="6"/>
      <c r="AI191" s="6"/>
    </row>
    <row r="192" spans="1:35" s="51" customFormat="1" ht="15.75">
      <c r="A192" s="6"/>
      <c r="B192" s="6"/>
      <c r="C192" s="6"/>
      <c r="D192" s="6"/>
      <c r="E192" s="6"/>
      <c r="F192" s="6"/>
      <c r="G192" s="6"/>
      <c r="H192" s="6"/>
      <c r="I192" s="6"/>
      <c r="J192" s="6"/>
      <c r="K192" s="6"/>
      <c r="M192" s="6"/>
      <c r="N192" s="6"/>
      <c r="O192" s="6"/>
      <c r="P192" s="6"/>
      <c r="Q192" s="6"/>
      <c r="R192" s="6"/>
      <c r="S192" s="6"/>
      <c r="T192" s="6"/>
      <c r="U192" s="6"/>
      <c r="V192" s="6"/>
      <c r="W192" s="6"/>
      <c r="Y192" s="6"/>
      <c r="Z192" s="6"/>
      <c r="AA192" s="6"/>
      <c r="AB192" s="6"/>
      <c r="AC192" s="6"/>
      <c r="AD192" s="6"/>
      <c r="AE192" s="6"/>
      <c r="AF192" s="6"/>
      <c r="AG192" s="6"/>
      <c r="AH192" s="6"/>
      <c r="AI192" s="6"/>
    </row>
    <row r="193" spans="1:35" s="51" customFormat="1" ht="15.75">
      <c r="A193" s="6"/>
      <c r="B193" s="6"/>
      <c r="C193" s="6"/>
      <c r="D193" s="6"/>
      <c r="E193" s="6"/>
      <c r="F193" s="6"/>
      <c r="G193" s="6"/>
      <c r="H193" s="6"/>
      <c r="I193" s="6"/>
      <c r="J193" s="6"/>
      <c r="K193" s="6"/>
      <c r="L193" s="594"/>
      <c r="M193" s="6"/>
      <c r="N193" s="6"/>
      <c r="O193" s="6"/>
      <c r="P193" s="6"/>
      <c r="Q193" s="6"/>
      <c r="R193" s="6"/>
      <c r="S193" s="6"/>
      <c r="T193" s="6"/>
      <c r="U193" s="6"/>
      <c r="V193" s="6"/>
      <c r="W193" s="6"/>
      <c r="Y193" s="6"/>
      <c r="Z193" s="6"/>
      <c r="AA193" s="6"/>
      <c r="AB193" s="6"/>
      <c r="AC193" s="6"/>
      <c r="AD193" s="6"/>
      <c r="AE193" s="6"/>
      <c r="AF193" s="6"/>
      <c r="AG193" s="6"/>
      <c r="AH193" s="6"/>
      <c r="AI193" s="6"/>
    </row>
    <row r="194" spans="1:35" s="51" customFormat="1" ht="15.75">
      <c r="A194" s="6"/>
      <c r="B194" s="6"/>
      <c r="C194" s="6"/>
      <c r="D194" s="6"/>
      <c r="E194" s="6"/>
      <c r="F194" s="6"/>
      <c r="G194" s="6"/>
      <c r="H194" s="6"/>
      <c r="I194" s="6"/>
      <c r="J194" s="6"/>
      <c r="K194" s="6"/>
      <c r="L194" s="591"/>
      <c r="M194" s="6"/>
      <c r="N194" s="6"/>
      <c r="O194" s="6"/>
      <c r="P194" s="6"/>
      <c r="Q194" s="6"/>
      <c r="R194" s="6"/>
      <c r="S194" s="6"/>
      <c r="T194" s="6"/>
      <c r="U194" s="6"/>
      <c r="V194" s="6"/>
      <c r="W194" s="6"/>
      <c r="Y194" s="6"/>
      <c r="Z194" s="6"/>
      <c r="AA194" s="6"/>
      <c r="AB194" s="6"/>
      <c r="AC194" s="6"/>
      <c r="AD194" s="6"/>
      <c r="AE194" s="6"/>
      <c r="AF194" s="6"/>
      <c r="AG194" s="6"/>
      <c r="AH194" s="6"/>
      <c r="AI194" s="6"/>
    </row>
    <row r="195" spans="1:35" s="51" customFormat="1" ht="16.350000000000001" customHeight="1">
      <c r="A195" s="6"/>
      <c r="B195" s="6"/>
      <c r="C195" s="6"/>
      <c r="D195" s="6"/>
      <c r="E195" s="6"/>
      <c r="F195" s="6"/>
      <c r="G195" s="6"/>
      <c r="H195" s="6"/>
      <c r="I195" s="6"/>
      <c r="J195" s="6"/>
      <c r="K195" s="6"/>
      <c r="L195" s="732"/>
      <c r="M195" s="6"/>
      <c r="N195" s="6"/>
      <c r="O195" s="6"/>
      <c r="P195" s="6"/>
      <c r="Q195" s="6"/>
      <c r="R195" s="6"/>
      <c r="S195" s="6"/>
      <c r="T195" s="6"/>
      <c r="U195" s="6"/>
      <c r="V195" s="6"/>
      <c r="W195" s="6"/>
      <c r="X195" s="732"/>
      <c r="Y195" s="6"/>
      <c r="Z195" s="6"/>
      <c r="AA195" s="6"/>
      <c r="AB195" s="6"/>
      <c r="AC195" s="6"/>
      <c r="AD195" s="6"/>
      <c r="AE195" s="6"/>
      <c r="AF195" s="6"/>
      <c r="AG195" s="6"/>
      <c r="AH195" s="6"/>
      <c r="AI195" s="6"/>
    </row>
    <row r="196" spans="1:35" s="51" customFormat="1" ht="16.350000000000001" customHeight="1">
      <c r="A196" s="6"/>
      <c r="B196" s="6"/>
      <c r="C196" s="6"/>
      <c r="D196" s="6"/>
      <c r="E196" s="6"/>
      <c r="F196" s="6"/>
      <c r="G196" s="6"/>
      <c r="H196" s="6"/>
      <c r="I196" s="6"/>
      <c r="J196" s="6"/>
      <c r="K196" s="6"/>
      <c r="L196" s="732"/>
      <c r="M196" s="6"/>
      <c r="N196" s="6"/>
      <c r="O196" s="6"/>
      <c r="P196" s="6"/>
      <c r="Q196" s="6"/>
      <c r="R196" s="6"/>
      <c r="S196" s="6"/>
      <c r="T196" s="6"/>
      <c r="U196" s="6"/>
      <c r="V196" s="6"/>
      <c r="W196" s="6"/>
      <c r="X196" s="732"/>
      <c r="Y196" s="6"/>
      <c r="Z196" s="6"/>
      <c r="AA196" s="6"/>
      <c r="AB196" s="6"/>
      <c r="AC196" s="6"/>
      <c r="AD196" s="6"/>
      <c r="AE196" s="6"/>
      <c r="AF196" s="6"/>
      <c r="AG196" s="6"/>
      <c r="AH196" s="6"/>
      <c r="AI196" s="6"/>
    </row>
    <row r="197" spans="1:35" s="51" customFormat="1" ht="16.350000000000001" customHeight="1">
      <c r="A197" s="6"/>
      <c r="B197" s="6"/>
      <c r="C197" s="6"/>
      <c r="D197" s="6"/>
      <c r="E197" s="6"/>
      <c r="F197" s="6"/>
      <c r="G197" s="6"/>
      <c r="H197" s="6"/>
      <c r="I197" s="6"/>
      <c r="J197" s="6"/>
      <c r="K197" s="6"/>
      <c r="L197" s="732"/>
      <c r="M197" s="6"/>
      <c r="N197" s="6"/>
      <c r="O197" s="6"/>
      <c r="P197" s="6"/>
      <c r="Q197" s="6"/>
      <c r="R197" s="6"/>
      <c r="S197" s="6"/>
      <c r="T197" s="6"/>
      <c r="U197" s="6"/>
      <c r="V197" s="6"/>
      <c r="W197" s="6"/>
      <c r="X197" s="732"/>
      <c r="Y197" s="6"/>
      <c r="Z197" s="6"/>
      <c r="AA197" s="6"/>
      <c r="AB197" s="6"/>
      <c r="AC197" s="6"/>
      <c r="AD197" s="6"/>
      <c r="AE197" s="6"/>
      <c r="AF197" s="6"/>
      <c r="AG197" s="6"/>
      <c r="AH197" s="6"/>
      <c r="AI197" s="6"/>
    </row>
    <row r="198" spans="1:35" s="51" customFormat="1" ht="16.350000000000001" customHeight="1">
      <c r="A198" s="6"/>
      <c r="B198" s="6"/>
      <c r="C198" s="6"/>
      <c r="D198" s="6"/>
      <c r="E198" s="6"/>
      <c r="F198" s="6"/>
      <c r="G198" s="6"/>
      <c r="H198" s="6"/>
      <c r="I198" s="6"/>
      <c r="J198" s="6"/>
      <c r="K198" s="6"/>
      <c r="L198" s="732"/>
      <c r="M198" s="6"/>
      <c r="N198" s="6"/>
      <c r="O198" s="6"/>
      <c r="P198" s="6"/>
      <c r="Q198" s="6"/>
      <c r="R198" s="6"/>
      <c r="S198" s="6"/>
      <c r="T198" s="6"/>
      <c r="U198" s="6"/>
      <c r="V198" s="6"/>
      <c r="W198" s="6"/>
      <c r="X198" s="732"/>
      <c r="Y198" s="6"/>
      <c r="Z198" s="6"/>
      <c r="AA198" s="6"/>
      <c r="AB198" s="6"/>
      <c r="AC198" s="6"/>
      <c r="AD198" s="6"/>
      <c r="AE198" s="6"/>
      <c r="AF198" s="6"/>
      <c r="AG198" s="6"/>
      <c r="AH198" s="6"/>
      <c r="AI198" s="6"/>
    </row>
    <row r="199" spans="1:35" s="51" customFormat="1" ht="16.350000000000001" customHeight="1">
      <c r="A199" s="6"/>
      <c r="B199" s="6"/>
      <c r="C199" s="6"/>
      <c r="D199" s="6"/>
      <c r="E199" s="6"/>
      <c r="F199" s="6"/>
      <c r="G199" s="6"/>
      <c r="H199" s="6"/>
      <c r="I199" s="6"/>
      <c r="J199" s="6"/>
      <c r="K199" s="6"/>
      <c r="L199" s="732"/>
      <c r="M199" s="6"/>
      <c r="N199" s="6"/>
      <c r="O199" s="6"/>
      <c r="P199" s="6"/>
      <c r="Q199" s="6"/>
      <c r="R199" s="6"/>
      <c r="S199" s="6"/>
      <c r="T199" s="6"/>
      <c r="U199" s="6"/>
      <c r="V199" s="6"/>
      <c r="W199" s="6"/>
      <c r="X199" s="732"/>
      <c r="Y199" s="6"/>
      <c r="Z199" s="6"/>
      <c r="AA199" s="6"/>
      <c r="AB199" s="6"/>
      <c r="AC199" s="6"/>
      <c r="AD199" s="6"/>
      <c r="AE199" s="6"/>
      <c r="AF199" s="6"/>
      <c r="AG199" s="6"/>
      <c r="AH199" s="6"/>
      <c r="AI199" s="6"/>
    </row>
    <row r="200" spans="1:35" s="51" customFormat="1" ht="16.350000000000001" customHeight="1">
      <c r="A200" s="6"/>
      <c r="B200" s="6"/>
      <c r="C200" s="6"/>
      <c r="D200" s="6"/>
      <c r="E200" s="6"/>
      <c r="F200" s="6"/>
      <c r="G200" s="6"/>
      <c r="H200" s="6"/>
      <c r="I200" s="6"/>
      <c r="J200" s="6"/>
      <c r="K200" s="6"/>
      <c r="L200" s="732"/>
      <c r="M200" s="6"/>
      <c r="N200" s="6"/>
      <c r="O200" s="6"/>
      <c r="P200" s="6"/>
      <c r="Q200" s="6"/>
      <c r="R200" s="6"/>
      <c r="S200" s="6"/>
      <c r="T200" s="6"/>
      <c r="U200" s="6"/>
      <c r="V200" s="6"/>
      <c r="W200" s="6"/>
      <c r="X200" s="732"/>
      <c r="Y200" s="6"/>
      <c r="Z200" s="6"/>
      <c r="AA200" s="6"/>
      <c r="AB200" s="6"/>
      <c r="AC200" s="6"/>
      <c r="AD200" s="6"/>
      <c r="AE200" s="6"/>
      <c r="AF200" s="6"/>
      <c r="AG200" s="6"/>
      <c r="AH200" s="6"/>
      <c r="AI200" s="6"/>
    </row>
    <row r="201" spans="1:35" s="51" customFormat="1" ht="16.350000000000001" customHeight="1">
      <c r="A201" s="6"/>
      <c r="B201" s="6"/>
      <c r="C201" s="6"/>
      <c r="D201" s="6"/>
      <c r="E201" s="6"/>
      <c r="F201" s="6"/>
      <c r="G201" s="6"/>
      <c r="H201" s="6"/>
      <c r="I201" s="6"/>
      <c r="J201" s="6"/>
      <c r="K201" s="6"/>
      <c r="L201" s="732"/>
      <c r="M201" s="6"/>
      <c r="N201" s="6"/>
      <c r="O201" s="6"/>
      <c r="P201" s="6"/>
      <c r="Q201" s="6"/>
      <c r="R201" s="6"/>
      <c r="S201" s="6"/>
      <c r="T201" s="6"/>
      <c r="U201" s="6"/>
      <c r="V201" s="6"/>
      <c r="W201" s="6"/>
      <c r="X201" s="732"/>
      <c r="Y201" s="6"/>
      <c r="Z201" s="6"/>
      <c r="AA201" s="6"/>
      <c r="AB201" s="6"/>
      <c r="AC201" s="6"/>
      <c r="AD201" s="6"/>
      <c r="AE201" s="6"/>
      <c r="AF201" s="6"/>
      <c r="AG201" s="6"/>
      <c r="AH201" s="6"/>
      <c r="AI201" s="6"/>
    </row>
    <row r="202" spans="1:35" s="51" customFormat="1" ht="16.350000000000001" customHeight="1">
      <c r="A202" s="6"/>
      <c r="B202" s="6"/>
      <c r="C202" s="6"/>
      <c r="D202" s="6"/>
      <c r="E202" s="6"/>
      <c r="F202" s="6"/>
      <c r="G202" s="6"/>
      <c r="H202" s="6"/>
      <c r="I202" s="6"/>
      <c r="J202" s="6"/>
      <c r="K202" s="6"/>
      <c r="L202" s="732"/>
      <c r="M202" s="6"/>
      <c r="N202" s="6"/>
      <c r="O202" s="6"/>
      <c r="P202" s="6"/>
      <c r="Q202" s="6"/>
      <c r="R202" s="6"/>
      <c r="S202" s="6"/>
      <c r="T202" s="6"/>
      <c r="U202" s="6"/>
      <c r="V202" s="6"/>
      <c r="W202" s="6"/>
      <c r="X202" s="732"/>
      <c r="Y202" s="6"/>
      <c r="Z202" s="6"/>
      <c r="AA202" s="6"/>
      <c r="AB202" s="6"/>
      <c r="AC202" s="6"/>
      <c r="AD202" s="6"/>
      <c r="AE202" s="6"/>
      <c r="AF202" s="6"/>
      <c r="AG202" s="6"/>
      <c r="AH202" s="6"/>
      <c r="AI202" s="6"/>
    </row>
    <row r="203" spans="1:35" s="51" customFormat="1" ht="16.350000000000001" customHeight="1">
      <c r="A203" s="6"/>
      <c r="B203" s="6"/>
      <c r="C203" s="6"/>
      <c r="D203" s="6"/>
      <c r="E203" s="6"/>
      <c r="F203" s="6"/>
      <c r="G203" s="6"/>
      <c r="H203" s="6"/>
      <c r="I203" s="6"/>
      <c r="J203" s="6"/>
      <c r="K203" s="6"/>
      <c r="L203" s="732"/>
      <c r="M203" s="6"/>
      <c r="N203" s="6"/>
      <c r="O203" s="6"/>
      <c r="P203" s="6"/>
      <c r="Q203" s="6"/>
      <c r="R203" s="6"/>
      <c r="S203" s="6"/>
      <c r="T203" s="6"/>
      <c r="U203" s="6"/>
      <c r="V203" s="6"/>
      <c r="W203" s="6"/>
      <c r="X203" s="732"/>
      <c r="Y203" s="6"/>
      <c r="Z203" s="6"/>
      <c r="AA203" s="6"/>
      <c r="AB203" s="6"/>
      <c r="AC203" s="6"/>
      <c r="AD203" s="6"/>
      <c r="AE203" s="6"/>
      <c r="AF203" s="6"/>
      <c r="AG203" s="6"/>
      <c r="AH203" s="6"/>
      <c r="AI203" s="6"/>
    </row>
    <row r="204" spans="1:35" s="51" customFormat="1" ht="16.350000000000001" customHeight="1">
      <c r="A204" s="6"/>
      <c r="B204" s="6"/>
      <c r="C204" s="6"/>
      <c r="D204" s="6"/>
      <c r="E204" s="6"/>
      <c r="F204" s="6"/>
      <c r="G204" s="6"/>
      <c r="H204" s="6"/>
      <c r="I204" s="6"/>
      <c r="J204" s="6"/>
      <c r="K204" s="6"/>
      <c r="L204" s="732"/>
      <c r="M204" s="6"/>
      <c r="N204" s="6"/>
      <c r="O204" s="6"/>
      <c r="P204" s="6"/>
      <c r="Q204" s="6"/>
      <c r="R204" s="6"/>
      <c r="S204" s="6"/>
      <c r="T204" s="6"/>
      <c r="U204" s="6"/>
      <c r="V204" s="6"/>
      <c r="W204" s="6"/>
      <c r="X204" s="732"/>
      <c r="Y204" s="6"/>
      <c r="Z204" s="6"/>
      <c r="AA204" s="6"/>
      <c r="AB204" s="6"/>
      <c r="AC204" s="6"/>
      <c r="AD204" s="6"/>
      <c r="AE204" s="6"/>
      <c r="AF204" s="6"/>
      <c r="AG204" s="6"/>
      <c r="AH204" s="6"/>
      <c r="AI204" s="6"/>
    </row>
    <row r="205" spans="1:35" s="51" customFormat="1" ht="16.350000000000001" customHeight="1">
      <c r="A205" s="6"/>
      <c r="B205" s="6"/>
      <c r="C205" s="6"/>
      <c r="D205" s="6"/>
      <c r="E205" s="6"/>
      <c r="F205" s="6"/>
      <c r="G205" s="6"/>
      <c r="H205" s="6"/>
      <c r="I205" s="6"/>
      <c r="J205" s="6"/>
      <c r="K205" s="6"/>
      <c r="L205" s="732"/>
      <c r="M205" s="6"/>
      <c r="N205" s="6"/>
      <c r="O205" s="6"/>
      <c r="P205" s="6"/>
      <c r="Q205" s="6"/>
      <c r="R205" s="6"/>
      <c r="S205" s="6"/>
      <c r="T205" s="6"/>
      <c r="U205" s="6"/>
      <c r="V205" s="6"/>
      <c r="W205" s="6"/>
      <c r="X205" s="732"/>
      <c r="Y205" s="6"/>
      <c r="Z205" s="6"/>
      <c r="AA205" s="6"/>
      <c r="AB205" s="6"/>
      <c r="AC205" s="6"/>
      <c r="AD205" s="6"/>
      <c r="AE205" s="6"/>
      <c r="AF205" s="6"/>
      <c r="AG205" s="6"/>
      <c r="AH205" s="6"/>
      <c r="AI205" s="6"/>
    </row>
    <row r="206" spans="1:35" s="51" customFormat="1" ht="16.350000000000001" customHeight="1">
      <c r="A206" s="6"/>
      <c r="B206" s="6"/>
      <c r="C206" s="6"/>
      <c r="D206" s="6"/>
      <c r="E206" s="6"/>
      <c r="F206" s="6"/>
      <c r="G206" s="6"/>
      <c r="H206" s="6"/>
      <c r="I206" s="6"/>
      <c r="J206" s="6"/>
      <c r="K206" s="6"/>
      <c r="L206" s="732"/>
      <c r="M206" s="6"/>
      <c r="N206" s="6"/>
      <c r="O206" s="6"/>
      <c r="P206" s="6"/>
      <c r="Q206" s="6"/>
      <c r="R206" s="6"/>
      <c r="S206" s="6"/>
      <c r="T206" s="6"/>
      <c r="U206" s="6"/>
      <c r="V206" s="6"/>
      <c r="W206" s="6"/>
      <c r="X206" s="732"/>
      <c r="Y206" s="6"/>
      <c r="Z206" s="6"/>
      <c r="AA206" s="6"/>
      <c r="AB206" s="6"/>
      <c r="AC206" s="6"/>
      <c r="AD206" s="6"/>
      <c r="AE206" s="6"/>
      <c r="AF206" s="6"/>
      <c r="AG206" s="6"/>
      <c r="AH206" s="6"/>
      <c r="AI206" s="6"/>
    </row>
    <row r="207" spans="1:35" s="51" customFormat="1" ht="16.350000000000001" customHeight="1">
      <c r="A207" s="6"/>
      <c r="B207" s="6"/>
      <c r="C207" s="6"/>
      <c r="D207" s="6"/>
      <c r="E207" s="6"/>
      <c r="F207" s="6"/>
      <c r="G207" s="6"/>
      <c r="H207" s="6"/>
      <c r="I207" s="6"/>
      <c r="J207" s="6"/>
      <c r="K207" s="6"/>
      <c r="L207" s="732"/>
      <c r="M207" s="6"/>
      <c r="N207" s="6"/>
      <c r="O207" s="6"/>
      <c r="P207" s="6"/>
      <c r="Q207" s="6"/>
      <c r="R207" s="6"/>
      <c r="S207" s="6"/>
      <c r="T207" s="6"/>
      <c r="U207" s="6"/>
      <c r="V207" s="6"/>
      <c r="W207" s="6"/>
      <c r="X207" s="732"/>
      <c r="Y207" s="6"/>
      <c r="Z207" s="6"/>
      <c r="AA207" s="6"/>
      <c r="AB207" s="6"/>
      <c r="AC207" s="6"/>
      <c r="AD207" s="6"/>
      <c r="AE207" s="6"/>
      <c r="AF207" s="6"/>
      <c r="AG207" s="6"/>
      <c r="AH207" s="6"/>
      <c r="AI207" s="6"/>
    </row>
    <row r="208" spans="1:35" s="51" customFormat="1" ht="16.350000000000001" customHeight="1">
      <c r="A208" s="6"/>
      <c r="B208" s="6"/>
      <c r="C208" s="6"/>
      <c r="D208" s="6"/>
      <c r="E208" s="6"/>
      <c r="F208" s="6"/>
      <c r="G208" s="6"/>
      <c r="H208" s="6"/>
      <c r="I208" s="6"/>
      <c r="J208" s="6"/>
      <c r="K208" s="6"/>
      <c r="L208" s="732"/>
      <c r="M208" s="6"/>
      <c r="N208" s="6"/>
      <c r="O208" s="6"/>
      <c r="P208" s="6"/>
      <c r="Q208" s="6"/>
      <c r="R208" s="6"/>
      <c r="S208" s="6"/>
      <c r="T208" s="6"/>
      <c r="U208" s="6"/>
      <c r="V208" s="6"/>
      <c r="W208" s="6"/>
      <c r="X208" s="732"/>
      <c r="Y208" s="6"/>
      <c r="Z208" s="6"/>
      <c r="AA208" s="6"/>
      <c r="AB208" s="6"/>
      <c r="AC208" s="6"/>
      <c r="AD208" s="6"/>
      <c r="AE208" s="6"/>
      <c r="AF208" s="6"/>
      <c r="AG208" s="6"/>
      <c r="AH208" s="6"/>
      <c r="AI208" s="6"/>
    </row>
    <row r="209" spans="1:35" s="51" customFormat="1" ht="16.350000000000001" customHeight="1">
      <c r="A209" s="6"/>
      <c r="B209" s="6"/>
      <c r="C209" s="6"/>
      <c r="D209" s="6"/>
      <c r="E209" s="6"/>
      <c r="F209" s="6"/>
      <c r="G209" s="6"/>
      <c r="H209" s="6"/>
      <c r="I209" s="6"/>
      <c r="J209" s="6"/>
      <c r="K209" s="6"/>
      <c r="L209" s="732"/>
      <c r="M209" s="6"/>
      <c r="N209" s="6"/>
      <c r="O209" s="6"/>
      <c r="P209" s="6"/>
      <c r="Q209" s="6"/>
      <c r="R209" s="6"/>
      <c r="S209" s="6"/>
      <c r="T209" s="6"/>
      <c r="U209" s="6"/>
      <c r="V209" s="6"/>
      <c r="W209" s="6"/>
      <c r="X209" s="732"/>
      <c r="Y209" s="6"/>
      <c r="Z209" s="6"/>
      <c r="AA209" s="6"/>
      <c r="AB209" s="6"/>
      <c r="AC209" s="6"/>
      <c r="AD209" s="6"/>
      <c r="AE209" s="6"/>
      <c r="AF209" s="6"/>
      <c r="AG209" s="6"/>
      <c r="AH209" s="6"/>
      <c r="AI209" s="6"/>
    </row>
    <row r="210" spans="1:35" s="51" customFormat="1" ht="16.350000000000001" customHeight="1">
      <c r="A210" s="6"/>
      <c r="B210" s="6"/>
      <c r="C210" s="6"/>
      <c r="D210" s="6"/>
      <c r="E210" s="6"/>
      <c r="F210" s="6"/>
      <c r="G210" s="6"/>
      <c r="H210" s="6"/>
      <c r="I210" s="6"/>
      <c r="J210" s="6"/>
      <c r="K210" s="6"/>
      <c r="L210" s="732"/>
      <c r="M210" s="6"/>
      <c r="N210" s="6"/>
      <c r="O210" s="6"/>
      <c r="P210" s="6"/>
      <c r="Q210" s="6"/>
      <c r="R210" s="6"/>
      <c r="S210" s="6"/>
      <c r="T210" s="6"/>
      <c r="U210" s="6"/>
      <c r="V210" s="6"/>
      <c r="W210" s="6"/>
      <c r="X210" s="732"/>
      <c r="Y210" s="6"/>
      <c r="Z210" s="6"/>
      <c r="AA210" s="6"/>
      <c r="AB210" s="6"/>
      <c r="AC210" s="6"/>
      <c r="AD210" s="6"/>
      <c r="AE210" s="6"/>
      <c r="AF210" s="6"/>
      <c r="AG210" s="6"/>
      <c r="AH210" s="6"/>
      <c r="AI210" s="6"/>
    </row>
    <row r="211" spans="1:35" s="51" customFormat="1" ht="16.350000000000001" customHeight="1">
      <c r="A211" s="6"/>
      <c r="B211" s="6"/>
      <c r="C211" s="6"/>
      <c r="D211" s="6"/>
      <c r="E211" s="6"/>
      <c r="F211" s="6"/>
      <c r="G211" s="6"/>
      <c r="H211" s="6"/>
      <c r="I211" s="6"/>
      <c r="J211" s="6"/>
      <c r="K211" s="6"/>
      <c r="L211" s="732"/>
      <c r="M211" s="6"/>
      <c r="N211" s="6"/>
      <c r="O211" s="6"/>
      <c r="P211" s="6"/>
      <c r="Q211" s="6"/>
      <c r="R211" s="6"/>
      <c r="S211" s="6"/>
      <c r="T211" s="6"/>
      <c r="U211" s="6"/>
      <c r="V211" s="6"/>
      <c r="W211" s="6"/>
      <c r="X211" s="732"/>
      <c r="Y211" s="6"/>
      <c r="Z211" s="6"/>
      <c r="AA211" s="6"/>
      <c r="AB211" s="6"/>
      <c r="AC211" s="6"/>
      <c r="AD211" s="6"/>
      <c r="AE211" s="6"/>
      <c r="AF211" s="6"/>
      <c r="AG211" s="6"/>
      <c r="AH211" s="6"/>
      <c r="AI211" s="6"/>
    </row>
    <row r="212" spans="1:35" s="51" customFormat="1" ht="16.350000000000001" customHeight="1">
      <c r="A212" s="6"/>
      <c r="B212" s="6"/>
      <c r="C212" s="6"/>
      <c r="D212" s="6"/>
      <c r="E212" s="6"/>
      <c r="F212" s="6"/>
      <c r="G212" s="6"/>
      <c r="H212" s="6"/>
      <c r="I212" s="6"/>
      <c r="J212" s="6"/>
      <c r="K212" s="6"/>
      <c r="L212" s="732"/>
      <c r="M212" s="6"/>
      <c r="N212" s="6"/>
      <c r="O212" s="6"/>
      <c r="P212" s="6"/>
      <c r="Q212" s="6"/>
      <c r="R212" s="6"/>
      <c r="S212" s="6"/>
      <c r="T212" s="6"/>
      <c r="U212" s="6"/>
      <c r="V212" s="6"/>
      <c r="W212" s="6"/>
      <c r="X212" s="732"/>
      <c r="Y212" s="6"/>
      <c r="Z212" s="6"/>
      <c r="AA212" s="6"/>
      <c r="AB212" s="6"/>
      <c r="AC212" s="6"/>
      <c r="AD212" s="6"/>
      <c r="AE212" s="6"/>
      <c r="AF212" s="6"/>
      <c r="AG212" s="6"/>
      <c r="AH212" s="6"/>
      <c r="AI212" s="6"/>
    </row>
    <row r="213" spans="1:35" s="51" customFormat="1" ht="16.350000000000001" customHeight="1">
      <c r="A213" s="6"/>
      <c r="B213" s="6"/>
      <c r="C213" s="6"/>
      <c r="D213" s="6"/>
      <c r="E213" s="6"/>
      <c r="F213" s="6"/>
      <c r="G213" s="6"/>
      <c r="H213" s="6"/>
      <c r="I213" s="6"/>
      <c r="J213" s="6"/>
      <c r="K213" s="6"/>
      <c r="L213" s="732"/>
      <c r="M213" s="6"/>
      <c r="N213" s="6"/>
      <c r="O213" s="6"/>
      <c r="P213" s="6"/>
      <c r="Q213" s="6"/>
      <c r="R213" s="6"/>
      <c r="S213" s="6"/>
      <c r="T213" s="6"/>
      <c r="U213" s="6"/>
      <c r="V213" s="6"/>
      <c r="W213" s="6"/>
      <c r="X213" s="732"/>
      <c r="Y213" s="6"/>
      <c r="Z213" s="6"/>
      <c r="AA213" s="6"/>
      <c r="AB213" s="6"/>
      <c r="AC213" s="6"/>
      <c r="AD213" s="6"/>
      <c r="AE213" s="6"/>
      <c r="AF213" s="6"/>
      <c r="AG213" s="6"/>
      <c r="AH213" s="6"/>
      <c r="AI213" s="6"/>
    </row>
    <row r="214" spans="1:35" s="51" customFormat="1" ht="16.350000000000001" customHeight="1">
      <c r="A214" s="6"/>
      <c r="B214" s="6"/>
      <c r="C214" s="6"/>
      <c r="D214" s="6"/>
      <c r="E214" s="6"/>
      <c r="F214" s="6"/>
      <c r="G214" s="6"/>
      <c r="H214" s="6"/>
      <c r="I214" s="6"/>
      <c r="J214" s="6"/>
      <c r="K214" s="6"/>
      <c r="L214" s="732"/>
      <c r="M214" s="6"/>
      <c r="N214" s="6"/>
      <c r="O214" s="6"/>
      <c r="P214" s="6"/>
      <c r="Q214" s="6"/>
      <c r="R214" s="6"/>
      <c r="S214" s="6"/>
      <c r="T214" s="6"/>
      <c r="U214" s="6"/>
      <c r="V214" s="6"/>
      <c r="W214" s="6"/>
      <c r="X214" s="732"/>
      <c r="Y214" s="6"/>
      <c r="Z214" s="6"/>
      <c r="AA214" s="6"/>
      <c r="AB214" s="6"/>
      <c r="AC214" s="6"/>
      <c r="AD214" s="6"/>
      <c r="AE214" s="6"/>
      <c r="AF214" s="6"/>
      <c r="AG214" s="6"/>
      <c r="AH214" s="6"/>
      <c r="AI214" s="6"/>
    </row>
    <row r="215" spans="1:35" s="51" customFormat="1" ht="16.350000000000001" customHeight="1">
      <c r="A215" s="6"/>
      <c r="B215" s="6"/>
      <c r="C215" s="6"/>
      <c r="D215" s="6"/>
      <c r="E215" s="6"/>
      <c r="F215" s="6"/>
      <c r="G215" s="6"/>
      <c r="H215" s="6"/>
      <c r="I215" s="6"/>
      <c r="J215" s="6"/>
      <c r="K215" s="6"/>
      <c r="L215" s="732"/>
      <c r="M215" s="6"/>
      <c r="N215" s="6"/>
      <c r="O215" s="6"/>
      <c r="P215" s="6"/>
      <c r="Q215" s="6"/>
      <c r="R215" s="6"/>
      <c r="S215" s="6"/>
      <c r="T215" s="6"/>
      <c r="U215" s="6"/>
      <c r="V215" s="6"/>
      <c r="W215" s="6"/>
      <c r="X215" s="732"/>
      <c r="Y215" s="6"/>
      <c r="Z215" s="6"/>
      <c r="AA215" s="6"/>
      <c r="AB215" s="6"/>
      <c r="AC215" s="6"/>
      <c r="AD215" s="6"/>
      <c r="AE215" s="6"/>
      <c r="AF215" s="6"/>
      <c r="AG215" s="6"/>
      <c r="AH215" s="6"/>
      <c r="AI215" s="6"/>
    </row>
    <row r="216" spans="1:35" s="51" customFormat="1" ht="16.350000000000001" customHeight="1">
      <c r="A216" s="6"/>
      <c r="B216" s="6"/>
      <c r="C216" s="6"/>
      <c r="D216" s="6"/>
      <c r="E216" s="6"/>
      <c r="F216" s="6"/>
      <c r="G216" s="6"/>
      <c r="H216" s="6"/>
      <c r="I216" s="6"/>
      <c r="J216" s="6"/>
      <c r="K216" s="6"/>
      <c r="L216" s="732"/>
      <c r="M216" s="6"/>
      <c r="N216" s="6"/>
      <c r="O216" s="6"/>
      <c r="P216" s="6"/>
      <c r="Q216" s="6"/>
      <c r="R216" s="6"/>
      <c r="S216" s="6"/>
      <c r="T216" s="6"/>
      <c r="U216" s="6"/>
      <c r="V216" s="6"/>
      <c r="W216" s="6"/>
      <c r="X216" s="732"/>
      <c r="Y216" s="6"/>
      <c r="Z216" s="6"/>
      <c r="AA216" s="6"/>
      <c r="AB216" s="6"/>
      <c r="AC216" s="6"/>
      <c r="AD216" s="6"/>
      <c r="AE216" s="6"/>
      <c r="AF216" s="6"/>
      <c r="AG216" s="6"/>
      <c r="AH216" s="6"/>
      <c r="AI216" s="6"/>
    </row>
    <row r="217" spans="1:35" s="51" customFormat="1" ht="16.5" customHeight="1">
      <c r="A217" s="6"/>
      <c r="B217" s="6"/>
      <c r="C217" s="6"/>
      <c r="D217" s="6"/>
      <c r="E217" s="6"/>
      <c r="F217" s="6"/>
      <c r="G217" s="6"/>
      <c r="H217" s="6"/>
      <c r="I217" s="6"/>
      <c r="J217" s="6"/>
      <c r="K217" s="6"/>
      <c r="L217" s="597"/>
      <c r="M217" s="6"/>
      <c r="N217" s="6"/>
      <c r="O217" s="6"/>
      <c r="P217" s="6"/>
      <c r="Q217" s="6"/>
      <c r="R217" s="6"/>
      <c r="S217" s="6"/>
      <c r="T217" s="6"/>
      <c r="U217" s="6"/>
      <c r="V217" s="6"/>
      <c r="W217" s="6"/>
      <c r="X217" s="605"/>
      <c r="Y217" s="6"/>
      <c r="Z217" s="6"/>
      <c r="AA217" s="6"/>
      <c r="AB217" s="6"/>
      <c r="AC217" s="6"/>
      <c r="AD217" s="6"/>
      <c r="AE217" s="6"/>
      <c r="AF217" s="6"/>
      <c r="AG217" s="6"/>
      <c r="AH217" s="6"/>
      <c r="AI217" s="6"/>
    </row>
    <row r="218" spans="1:35" s="51" customFormat="1" ht="15.75">
      <c r="A218" s="6"/>
      <c r="B218" s="6"/>
      <c r="C218" s="6"/>
      <c r="D218" s="6"/>
      <c r="E218" s="6"/>
      <c r="F218" s="6"/>
      <c r="G218" s="6"/>
      <c r="H218" s="6"/>
      <c r="I218" s="6"/>
      <c r="J218" s="6"/>
      <c r="K218" s="6"/>
      <c r="L218" s="53"/>
      <c r="M218" s="6"/>
      <c r="N218" s="6"/>
      <c r="O218" s="6"/>
      <c r="P218" s="6"/>
      <c r="Q218" s="6"/>
      <c r="R218" s="6"/>
      <c r="S218" s="6"/>
      <c r="T218" s="6"/>
      <c r="U218" s="6"/>
      <c r="V218" s="6"/>
      <c r="W218" s="6"/>
      <c r="X218" s="2"/>
      <c r="Y218" s="6"/>
      <c r="Z218" s="6"/>
      <c r="AA218" s="6"/>
      <c r="AB218" s="6"/>
      <c r="AC218" s="6"/>
      <c r="AD218" s="6"/>
      <c r="AE218" s="6"/>
      <c r="AF218" s="6"/>
      <c r="AG218" s="6"/>
      <c r="AH218" s="6"/>
      <c r="AI218" s="6"/>
    </row>
    <row r="219" spans="1:35" s="51" customFormat="1" ht="15.75">
      <c r="A219" s="6"/>
      <c r="B219" s="6"/>
      <c r="C219" s="6"/>
      <c r="D219" s="6"/>
      <c r="E219" s="6"/>
      <c r="F219" s="6"/>
      <c r="G219" s="6"/>
      <c r="H219" s="6"/>
      <c r="I219" s="6"/>
      <c r="J219" s="6"/>
      <c r="K219" s="6"/>
      <c r="L219" s="2"/>
      <c r="M219" s="6"/>
      <c r="N219" s="6"/>
      <c r="O219" s="6"/>
      <c r="P219" s="6"/>
      <c r="Q219" s="6"/>
      <c r="R219" s="6"/>
      <c r="S219" s="6"/>
      <c r="T219" s="6"/>
      <c r="U219" s="6"/>
      <c r="V219" s="6"/>
      <c r="W219" s="6"/>
      <c r="X219" s="52"/>
      <c r="Y219" s="6"/>
      <c r="Z219" s="6"/>
      <c r="AA219" s="6"/>
      <c r="AB219" s="6"/>
      <c r="AC219" s="6"/>
      <c r="AD219" s="6"/>
      <c r="AE219" s="6"/>
      <c r="AF219" s="6"/>
      <c r="AG219" s="6"/>
      <c r="AH219" s="6"/>
      <c r="AI219" s="6"/>
    </row>
    <row r="220" spans="1:35" s="51" customFormat="1" ht="15.75">
      <c r="A220" s="6"/>
      <c r="B220" s="6"/>
      <c r="C220" s="6"/>
      <c r="D220" s="6"/>
      <c r="E220" s="6"/>
      <c r="F220" s="6"/>
      <c r="G220" s="6"/>
      <c r="H220" s="6"/>
      <c r="I220" s="6"/>
      <c r="J220" s="6"/>
      <c r="K220" s="6"/>
      <c r="M220" s="6"/>
      <c r="N220" s="6"/>
      <c r="O220" s="6"/>
      <c r="P220" s="6"/>
      <c r="Q220" s="6"/>
      <c r="R220" s="6"/>
      <c r="S220" s="6"/>
      <c r="T220" s="6"/>
      <c r="U220" s="6"/>
      <c r="V220" s="6"/>
      <c r="W220" s="6"/>
      <c r="X220" s="591"/>
      <c r="Y220" s="6"/>
      <c r="Z220" s="6"/>
      <c r="AA220" s="6"/>
      <c r="AB220" s="6"/>
      <c r="AC220" s="6"/>
      <c r="AD220" s="6"/>
      <c r="AE220" s="6"/>
      <c r="AF220" s="6"/>
      <c r="AG220" s="6"/>
      <c r="AH220" s="6"/>
      <c r="AI220" s="6"/>
    </row>
    <row r="221" spans="1:35" s="51" customFormat="1" ht="15.75">
      <c r="A221" s="6"/>
      <c r="B221" s="6"/>
      <c r="C221" s="6"/>
      <c r="D221" s="6"/>
      <c r="E221" s="6"/>
      <c r="F221" s="6"/>
      <c r="G221" s="6"/>
      <c r="H221" s="6"/>
      <c r="I221" s="6"/>
      <c r="J221" s="6"/>
      <c r="K221" s="6"/>
      <c r="M221" s="6"/>
      <c r="N221" s="6"/>
      <c r="O221" s="6"/>
      <c r="P221" s="6"/>
      <c r="Q221" s="6"/>
      <c r="R221" s="6"/>
      <c r="S221" s="6"/>
      <c r="T221" s="6"/>
      <c r="U221" s="6"/>
      <c r="V221" s="6"/>
      <c r="W221" s="6"/>
      <c r="X221" s="201"/>
      <c r="Y221" s="6"/>
      <c r="Z221" s="6"/>
      <c r="AA221" s="6"/>
      <c r="AB221" s="6"/>
      <c r="AC221" s="6"/>
      <c r="AD221" s="6"/>
      <c r="AE221" s="6"/>
      <c r="AF221" s="6"/>
      <c r="AG221" s="6"/>
      <c r="AH221" s="6"/>
      <c r="AI221" s="6"/>
    </row>
    <row r="222" spans="1:35" s="51" customFormat="1" ht="15.75">
      <c r="A222" s="6"/>
      <c r="B222" s="6"/>
      <c r="C222" s="6"/>
      <c r="D222" s="6"/>
      <c r="E222" s="6"/>
      <c r="F222" s="6"/>
      <c r="G222" s="6"/>
      <c r="H222" s="6"/>
      <c r="I222" s="6"/>
      <c r="J222" s="6"/>
      <c r="K222" s="6"/>
      <c r="M222" s="6"/>
      <c r="N222" s="6"/>
      <c r="O222" s="6"/>
      <c r="P222" s="6"/>
      <c r="Q222" s="6"/>
      <c r="R222" s="6"/>
      <c r="S222" s="6"/>
      <c r="T222" s="6"/>
      <c r="U222" s="6"/>
      <c r="V222" s="6"/>
      <c r="W222" s="6"/>
      <c r="X222" s="594"/>
      <c r="Y222" s="6"/>
      <c r="Z222" s="6"/>
      <c r="AA222" s="6"/>
      <c r="AB222" s="6"/>
      <c r="AC222" s="6"/>
      <c r="AD222" s="6"/>
      <c r="AE222" s="6"/>
      <c r="AF222" s="6"/>
      <c r="AG222" s="6"/>
      <c r="AH222" s="6"/>
      <c r="AI222" s="6"/>
    </row>
    <row r="223" spans="1:35" s="51" customFormat="1" ht="15.75">
      <c r="A223" s="6"/>
      <c r="B223" s="6"/>
      <c r="C223" s="6"/>
      <c r="D223" s="6"/>
      <c r="E223" s="6"/>
      <c r="F223" s="6"/>
      <c r="G223" s="6"/>
      <c r="H223" s="6"/>
      <c r="I223" s="6"/>
      <c r="J223" s="6"/>
      <c r="K223" s="6"/>
      <c r="M223" s="6"/>
      <c r="N223" s="6"/>
      <c r="O223" s="6"/>
      <c r="P223" s="6"/>
      <c r="Q223" s="6"/>
      <c r="R223" s="6"/>
      <c r="S223" s="6"/>
      <c r="T223" s="6"/>
      <c r="U223" s="6"/>
      <c r="V223" s="6"/>
      <c r="W223" s="6"/>
      <c r="X223" s="591"/>
      <c r="Y223" s="6"/>
      <c r="Z223" s="6"/>
      <c r="AA223" s="6"/>
      <c r="AB223" s="6"/>
      <c r="AC223" s="6"/>
      <c r="AD223" s="6"/>
      <c r="AE223" s="6"/>
      <c r="AF223" s="6"/>
      <c r="AG223" s="6"/>
      <c r="AH223" s="6"/>
      <c r="AI223" s="6"/>
    </row>
    <row r="224" spans="1:35" s="51" customFormat="1" ht="15.75">
      <c r="A224" s="6"/>
      <c r="B224" s="6"/>
      <c r="C224" s="6"/>
      <c r="D224" s="6"/>
      <c r="E224" s="6"/>
      <c r="F224" s="6"/>
      <c r="G224" s="6"/>
      <c r="H224" s="6"/>
      <c r="I224" s="6"/>
      <c r="J224" s="6"/>
      <c r="K224" s="6"/>
      <c r="M224" s="6"/>
      <c r="N224" s="6"/>
      <c r="O224" s="6"/>
      <c r="P224" s="6"/>
      <c r="Q224" s="6"/>
      <c r="R224" s="6"/>
      <c r="S224" s="6"/>
      <c r="T224" s="6"/>
      <c r="U224" s="6"/>
      <c r="V224" s="6"/>
      <c r="W224" s="6"/>
      <c r="X224" s="201"/>
      <c r="Y224" s="6"/>
      <c r="Z224" s="6"/>
      <c r="AA224" s="6"/>
      <c r="AB224" s="6"/>
      <c r="AC224" s="6"/>
      <c r="AD224" s="6"/>
      <c r="AE224" s="6"/>
      <c r="AF224" s="6"/>
      <c r="AG224" s="6"/>
      <c r="AH224" s="6"/>
      <c r="AI224" s="6"/>
    </row>
    <row r="225" spans="1:35" s="51" customFormat="1" ht="15.75">
      <c r="A225" s="6"/>
      <c r="B225" s="6"/>
      <c r="C225" s="6"/>
      <c r="D225" s="6"/>
      <c r="E225" s="6"/>
      <c r="F225" s="6"/>
      <c r="G225" s="6"/>
      <c r="H225" s="6"/>
      <c r="I225" s="6"/>
      <c r="J225" s="6"/>
      <c r="K225" s="6"/>
      <c r="M225" s="6"/>
      <c r="N225" s="6"/>
      <c r="O225" s="6"/>
      <c r="P225" s="6"/>
      <c r="Q225" s="6"/>
      <c r="R225" s="6"/>
      <c r="S225" s="6"/>
      <c r="T225" s="6"/>
      <c r="U225" s="6"/>
      <c r="V225" s="6"/>
      <c r="W225" s="6"/>
      <c r="X225" s="594"/>
      <c r="Y225" s="6"/>
      <c r="Z225" s="6"/>
      <c r="AA225" s="6"/>
      <c r="AB225" s="6"/>
      <c r="AC225" s="6"/>
      <c r="AD225" s="6"/>
      <c r="AE225" s="6"/>
      <c r="AF225" s="6"/>
      <c r="AG225" s="6"/>
      <c r="AH225" s="6"/>
      <c r="AI225" s="6"/>
    </row>
    <row r="226" spans="1:35" s="51" customFormat="1" ht="15.75">
      <c r="A226" s="6"/>
      <c r="B226" s="6"/>
      <c r="C226" s="6"/>
      <c r="D226" s="6"/>
      <c r="E226" s="6"/>
      <c r="F226" s="6"/>
      <c r="G226" s="6"/>
      <c r="H226" s="6"/>
      <c r="I226" s="6"/>
      <c r="J226" s="6"/>
      <c r="K226" s="6"/>
      <c r="M226" s="6"/>
      <c r="N226" s="6"/>
      <c r="O226" s="6"/>
      <c r="P226" s="6"/>
      <c r="Q226" s="6"/>
      <c r="R226" s="6"/>
      <c r="S226" s="6"/>
      <c r="T226" s="6"/>
      <c r="U226" s="6"/>
      <c r="V226" s="6"/>
      <c r="W226" s="6"/>
      <c r="X226" s="597"/>
      <c r="Y226" s="6"/>
      <c r="Z226" s="6"/>
      <c r="AA226" s="6"/>
      <c r="AB226" s="6"/>
      <c r="AC226" s="6"/>
      <c r="AD226" s="6"/>
      <c r="AE226" s="6"/>
      <c r="AF226" s="6"/>
      <c r="AG226" s="6"/>
      <c r="AH226" s="6"/>
      <c r="AI226" s="6"/>
    </row>
    <row r="227" spans="1:35" s="51" customFormat="1" ht="15.75">
      <c r="A227" s="6"/>
      <c r="B227" s="6"/>
      <c r="C227" s="6"/>
      <c r="D227" s="6"/>
      <c r="E227" s="6"/>
      <c r="F227" s="6"/>
      <c r="G227" s="6"/>
      <c r="H227" s="6"/>
      <c r="I227" s="6"/>
      <c r="J227" s="6"/>
      <c r="K227" s="6"/>
      <c r="M227" s="6"/>
      <c r="N227" s="6"/>
      <c r="O227" s="6"/>
      <c r="P227" s="6"/>
      <c r="Q227" s="6"/>
      <c r="R227" s="6"/>
      <c r="S227" s="6"/>
      <c r="T227" s="6"/>
      <c r="U227" s="6"/>
      <c r="V227" s="6"/>
      <c r="W227" s="6"/>
      <c r="Y227" s="6"/>
      <c r="Z227" s="6"/>
      <c r="AA227" s="6"/>
      <c r="AB227" s="6"/>
      <c r="AC227" s="6"/>
      <c r="AD227" s="6"/>
      <c r="AE227" s="6"/>
      <c r="AF227" s="6"/>
      <c r="AG227" s="6"/>
      <c r="AH227" s="6"/>
      <c r="AI227" s="6"/>
    </row>
    <row r="228" spans="1:35" s="51" customFormat="1" ht="15.75">
      <c r="A228" s="6"/>
      <c r="B228" s="6"/>
      <c r="C228" s="6"/>
      <c r="D228" s="6"/>
      <c r="E228" s="6"/>
      <c r="F228" s="6"/>
      <c r="G228" s="6"/>
      <c r="H228" s="6"/>
      <c r="I228" s="6"/>
      <c r="J228" s="6"/>
      <c r="K228" s="6"/>
      <c r="M228" s="6"/>
      <c r="N228" s="6"/>
      <c r="O228" s="6"/>
      <c r="P228" s="6"/>
      <c r="Q228" s="6"/>
      <c r="R228" s="6"/>
      <c r="S228" s="6"/>
      <c r="T228" s="6"/>
      <c r="U228" s="6"/>
      <c r="V228" s="6"/>
      <c r="W228" s="6"/>
      <c r="Y228" s="6"/>
      <c r="Z228" s="6"/>
      <c r="AA228" s="6"/>
      <c r="AB228" s="6"/>
      <c r="AC228" s="6"/>
      <c r="AD228" s="6"/>
      <c r="AE228" s="6"/>
      <c r="AF228" s="6"/>
      <c r="AG228" s="6"/>
      <c r="AH228" s="6"/>
      <c r="AI228" s="6"/>
    </row>
    <row r="229" spans="1:35" s="51" customFormat="1" ht="15.75">
      <c r="A229" s="6"/>
      <c r="B229" s="6"/>
      <c r="C229" s="6"/>
      <c r="D229" s="6"/>
      <c r="E229" s="6"/>
      <c r="F229" s="6"/>
      <c r="G229" s="6"/>
      <c r="H229" s="6"/>
      <c r="I229" s="6"/>
      <c r="J229" s="6"/>
      <c r="K229" s="6"/>
      <c r="M229" s="6"/>
      <c r="N229" s="6"/>
      <c r="O229" s="6"/>
      <c r="P229" s="6"/>
      <c r="Q229" s="6"/>
      <c r="R229" s="6"/>
      <c r="S229" s="6"/>
      <c r="T229" s="6"/>
      <c r="U229" s="6"/>
      <c r="V229" s="6"/>
      <c r="W229" s="6"/>
      <c r="Y229" s="6"/>
      <c r="Z229" s="6"/>
      <c r="AA229" s="6"/>
      <c r="AB229" s="6"/>
      <c r="AC229" s="6"/>
      <c r="AD229" s="6"/>
      <c r="AE229" s="6"/>
      <c r="AF229" s="6"/>
      <c r="AG229" s="6"/>
      <c r="AH229" s="6"/>
      <c r="AI229" s="6"/>
    </row>
    <row r="230" spans="1:35" s="51" customFormat="1" ht="15.75">
      <c r="A230" s="6"/>
      <c r="B230" s="6"/>
      <c r="C230" s="6"/>
      <c r="D230" s="6"/>
      <c r="E230" s="6"/>
      <c r="F230" s="6"/>
      <c r="G230" s="6"/>
      <c r="H230" s="6"/>
      <c r="I230" s="6"/>
      <c r="J230" s="6"/>
      <c r="K230" s="6"/>
      <c r="M230" s="6"/>
      <c r="N230" s="6"/>
      <c r="O230" s="6"/>
      <c r="P230" s="6"/>
      <c r="Q230" s="6"/>
      <c r="R230" s="6"/>
      <c r="S230" s="6"/>
      <c r="T230" s="6"/>
      <c r="U230" s="6"/>
      <c r="V230" s="6"/>
      <c r="W230" s="6"/>
      <c r="Y230" s="6"/>
      <c r="Z230" s="6"/>
      <c r="AA230" s="6"/>
      <c r="AB230" s="6"/>
      <c r="AC230" s="6"/>
      <c r="AD230" s="6"/>
      <c r="AE230" s="6"/>
      <c r="AF230" s="6"/>
      <c r="AG230" s="6"/>
      <c r="AH230" s="6"/>
      <c r="AI230" s="6"/>
    </row>
    <row r="231" spans="1:35" s="51" customFormat="1" ht="15.75">
      <c r="A231" s="6"/>
      <c r="B231" s="6"/>
      <c r="C231" s="6"/>
      <c r="D231" s="6"/>
      <c r="E231" s="6"/>
      <c r="F231" s="6"/>
      <c r="G231" s="6"/>
      <c r="H231" s="6"/>
      <c r="I231" s="6"/>
      <c r="J231" s="6"/>
      <c r="K231" s="6"/>
      <c r="M231" s="6"/>
      <c r="N231" s="6"/>
      <c r="O231" s="6"/>
      <c r="P231" s="6"/>
      <c r="Q231" s="6"/>
      <c r="R231" s="6"/>
      <c r="S231" s="6"/>
      <c r="T231" s="6"/>
      <c r="U231" s="6"/>
      <c r="V231" s="6"/>
      <c r="W231" s="6"/>
      <c r="Y231" s="6"/>
      <c r="Z231" s="6"/>
      <c r="AA231" s="6"/>
      <c r="AB231" s="6"/>
      <c r="AC231" s="6"/>
      <c r="AD231" s="6"/>
      <c r="AE231" s="6"/>
      <c r="AF231" s="6"/>
      <c r="AG231" s="6"/>
      <c r="AH231" s="6"/>
      <c r="AI231" s="6"/>
    </row>
    <row r="232" spans="1:35" s="51" customFormat="1" ht="15.75">
      <c r="A232" s="6"/>
      <c r="B232" s="6"/>
      <c r="C232" s="6"/>
      <c r="D232" s="6"/>
      <c r="E232" s="6"/>
      <c r="F232" s="6"/>
      <c r="G232" s="6"/>
      <c r="H232" s="6"/>
      <c r="I232" s="6"/>
      <c r="J232" s="6"/>
      <c r="K232" s="6"/>
      <c r="M232" s="6"/>
      <c r="N232" s="6"/>
      <c r="O232" s="6"/>
      <c r="P232" s="6"/>
      <c r="Q232" s="6"/>
      <c r="R232" s="6"/>
      <c r="S232" s="6"/>
      <c r="T232" s="6"/>
      <c r="U232" s="6"/>
      <c r="V232" s="6"/>
      <c r="W232" s="6"/>
      <c r="Y232" s="6"/>
      <c r="Z232" s="6"/>
      <c r="AA232" s="6"/>
      <c r="AB232" s="6"/>
      <c r="AC232" s="6"/>
      <c r="AD232" s="6"/>
      <c r="AE232" s="6"/>
      <c r="AF232" s="6"/>
      <c r="AG232" s="6"/>
      <c r="AH232" s="6"/>
      <c r="AI232" s="6"/>
    </row>
    <row r="233" spans="1:35" s="51" customFormat="1" ht="15.75">
      <c r="A233" s="6"/>
      <c r="B233" s="6"/>
      <c r="C233" s="6"/>
      <c r="D233" s="6"/>
      <c r="E233" s="6"/>
      <c r="F233" s="6"/>
      <c r="G233" s="6"/>
      <c r="H233" s="6"/>
      <c r="I233" s="6"/>
      <c r="J233" s="6"/>
      <c r="K233" s="6"/>
      <c r="M233" s="6"/>
      <c r="N233" s="6"/>
      <c r="O233" s="6"/>
      <c r="P233" s="6"/>
      <c r="Q233" s="6"/>
      <c r="R233" s="6"/>
      <c r="S233" s="6"/>
      <c r="T233" s="6"/>
      <c r="U233" s="6"/>
      <c r="V233" s="6"/>
      <c r="W233" s="6"/>
      <c r="Y233" s="6"/>
      <c r="Z233" s="6"/>
      <c r="AA233" s="6"/>
      <c r="AB233" s="6"/>
      <c r="AC233" s="6"/>
      <c r="AD233" s="6"/>
      <c r="AE233" s="6"/>
      <c r="AF233" s="6"/>
      <c r="AG233" s="6"/>
      <c r="AH233" s="6"/>
      <c r="AI233" s="6"/>
    </row>
    <row r="234" spans="1:35" s="51" customFormat="1" ht="15.75">
      <c r="A234" s="6"/>
      <c r="B234" s="6"/>
      <c r="C234" s="6"/>
      <c r="D234" s="6"/>
      <c r="E234" s="6"/>
      <c r="F234" s="6"/>
      <c r="G234" s="6"/>
      <c r="H234" s="6"/>
      <c r="I234" s="6"/>
      <c r="J234" s="6"/>
      <c r="K234" s="6"/>
      <c r="M234" s="6"/>
      <c r="N234" s="6"/>
      <c r="O234" s="6"/>
      <c r="P234" s="6"/>
      <c r="Q234" s="6"/>
      <c r="R234" s="6"/>
      <c r="S234" s="6"/>
      <c r="T234" s="6"/>
      <c r="U234" s="6"/>
      <c r="V234" s="6"/>
      <c r="W234" s="6"/>
      <c r="Y234" s="6"/>
      <c r="Z234" s="6"/>
      <c r="AA234" s="6"/>
      <c r="AB234" s="6"/>
      <c r="AC234" s="6"/>
      <c r="AD234" s="6"/>
      <c r="AE234" s="6"/>
      <c r="AF234" s="6"/>
      <c r="AG234" s="6"/>
      <c r="AH234" s="6"/>
      <c r="AI234" s="6"/>
    </row>
    <row r="235" spans="1:35" s="51" customFormat="1" ht="15.75">
      <c r="A235" s="6"/>
      <c r="B235" s="6"/>
      <c r="C235" s="6"/>
      <c r="D235" s="6"/>
      <c r="E235" s="6"/>
      <c r="F235" s="6"/>
      <c r="G235" s="6"/>
      <c r="H235" s="6"/>
      <c r="I235" s="6"/>
      <c r="J235" s="6"/>
      <c r="K235" s="6"/>
      <c r="M235" s="6"/>
      <c r="N235" s="6"/>
      <c r="O235" s="6"/>
      <c r="P235" s="6"/>
      <c r="Q235" s="6"/>
      <c r="R235" s="6"/>
      <c r="S235" s="6"/>
      <c r="T235" s="6"/>
      <c r="U235" s="6"/>
      <c r="V235" s="6"/>
      <c r="W235" s="6"/>
      <c r="Y235" s="6"/>
      <c r="Z235" s="6"/>
      <c r="AA235" s="6"/>
      <c r="AB235" s="6"/>
      <c r="AC235" s="6"/>
      <c r="AD235" s="6"/>
      <c r="AE235" s="6"/>
      <c r="AF235" s="6"/>
      <c r="AG235" s="6"/>
      <c r="AH235" s="6"/>
      <c r="AI235" s="6"/>
    </row>
    <row r="236" spans="1:35" s="51" customFormat="1" ht="15.75">
      <c r="A236" s="6"/>
      <c r="B236" s="6"/>
      <c r="C236" s="6"/>
      <c r="D236" s="6"/>
      <c r="E236" s="6"/>
      <c r="F236" s="6"/>
      <c r="G236" s="6"/>
      <c r="H236" s="6"/>
      <c r="I236" s="6"/>
      <c r="J236" s="6"/>
      <c r="K236" s="6"/>
      <c r="M236" s="6"/>
      <c r="N236" s="6"/>
      <c r="O236" s="6"/>
      <c r="P236" s="6"/>
      <c r="Q236" s="6"/>
      <c r="R236" s="6"/>
      <c r="S236" s="6"/>
      <c r="T236" s="6"/>
      <c r="U236" s="6"/>
      <c r="V236" s="6"/>
      <c r="W236" s="6"/>
      <c r="Y236" s="6"/>
      <c r="Z236" s="6"/>
      <c r="AA236" s="6"/>
      <c r="AB236" s="6"/>
      <c r="AC236" s="6"/>
      <c r="AD236" s="6"/>
      <c r="AE236" s="6"/>
      <c r="AF236" s="6"/>
      <c r="AG236" s="6"/>
      <c r="AH236" s="6"/>
      <c r="AI236" s="6"/>
    </row>
    <row r="237" spans="1:35" s="51" customFormat="1" ht="15.75">
      <c r="A237" s="6"/>
      <c r="B237" s="6"/>
      <c r="C237" s="6"/>
      <c r="D237" s="6"/>
      <c r="E237" s="6"/>
      <c r="F237" s="6"/>
      <c r="G237" s="6"/>
      <c r="H237" s="6"/>
      <c r="I237" s="6"/>
      <c r="J237" s="6"/>
      <c r="K237" s="6"/>
      <c r="M237" s="6"/>
      <c r="N237" s="6"/>
      <c r="O237" s="6"/>
      <c r="P237" s="6"/>
      <c r="Q237" s="6"/>
      <c r="R237" s="6"/>
      <c r="S237" s="6"/>
      <c r="T237" s="6"/>
      <c r="U237" s="6"/>
      <c r="V237" s="6"/>
      <c r="W237" s="6"/>
      <c r="Y237" s="6"/>
      <c r="Z237" s="6"/>
      <c r="AA237" s="6"/>
      <c r="AB237" s="6"/>
      <c r="AC237" s="6"/>
      <c r="AD237" s="6"/>
      <c r="AE237" s="6"/>
      <c r="AF237" s="6"/>
      <c r="AG237" s="6"/>
      <c r="AH237" s="6"/>
      <c r="AI237" s="6"/>
    </row>
    <row r="238" spans="1:35" s="51" customFormat="1" ht="15.75">
      <c r="A238" s="6"/>
      <c r="B238" s="6"/>
      <c r="C238" s="6"/>
      <c r="D238" s="6"/>
      <c r="E238" s="6"/>
      <c r="F238" s="6"/>
      <c r="G238" s="6"/>
      <c r="H238" s="6"/>
      <c r="I238" s="6"/>
      <c r="J238" s="6"/>
      <c r="K238" s="6"/>
      <c r="M238" s="6"/>
      <c r="N238" s="6"/>
      <c r="O238" s="6"/>
      <c r="P238" s="6"/>
      <c r="Q238" s="6"/>
      <c r="R238" s="6"/>
      <c r="S238" s="6"/>
      <c r="T238" s="6"/>
      <c r="U238" s="6"/>
      <c r="V238" s="6"/>
      <c r="W238" s="6"/>
      <c r="Y238" s="6"/>
      <c r="Z238" s="6"/>
      <c r="AA238" s="6"/>
      <c r="AB238" s="6"/>
      <c r="AC238" s="6"/>
      <c r="AD238" s="6"/>
      <c r="AE238" s="6"/>
      <c r="AF238" s="6"/>
      <c r="AG238" s="6"/>
      <c r="AH238" s="6"/>
      <c r="AI238" s="6"/>
    </row>
    <row r="239" spans="1:35" s="51" customFormat="1" ht="15.75">
      <c r="A239" s="6"/>
      <c r="B239" s="6"/>
      <c r="C239" s="6"/>
      <c r="D239" s="6"/>
      <c r="E239" s="6"/>
      <c r="F239" s="6"/>
      <c r="G239" s="6"/>
      <c r="H239" s="6"/>
      <c r="I239" s="6"/>
      <c r="J239" s="6"/>
      <c r="K239" s="6"/>
      <c r="M239" s="6"/>
      <c r="N239" s="6"/>
      <c r="O239" s="6"/>
      <c r="P239" s="6"/>
      <c r="Q239" s="6"/>
      <c r="R239" s="6"/>
      <c r="S239" s="6"/>
      <c r="T239" s="6"/>
      <c r="U239" s="6"/>
      <c r="V239" s="6"/>
      <c r="W239" s="6"/>
      <c r="X239" s="594"/>
      <c r="Y239" s="6"/>
      <c r="Z239" s="6"/>
      <c r="AA239" s="6"/>
      <c r="AB239" s="6"/>
      <c r="AC239" s="6"/>
      <c r="AD239" s="6"/>
      <c r="AE239" s="6"/>
      <c r="AF239" s="6"/>
      <c r="AG239" s="6"/>
      <c r="AH239" s="6"/>
      <c r="AI239" s="6"/>
    </row>
    <row r="240" spans="1:35" s="51" customFormat="1" ht="15.75">
      <c r="A240" s="6"/>
      <c r="B240" s="6"/>
      <c r="C240" s="6"/>
      <c r="D240" s="6"/>
      <c r="E240" s="6"/>
      <c r="F240" s="6"/>
      <c r="G240" s="6"/>
      <c r="H240" s="6"/>
      <c r="I240" s="6"/>
      <c r="J240" s="6"/>
      <c r="K240" s="6"/>
      <c r="M240" s="6"/>
      <c r="N240" s="6"/>
      <c r="O240" s="6"/>
      <c r="P240" s="6"/>
      <c r="Q240" s="6"/>
      <c r="R240" s="6"/>
      <c r="S240" s="6"/>
      <c r="T240" s="6"/>
      <c r="U240" s="6"/>
      <c r="V240" s="6"/>
      <c r="W240" s="6"/>
      <c r="X240" s="201"/>
      <c r="Y240" s="6"/>
      <c r="Z240" s="6"/>
      <c r="AA240" s="6"/>
      <c r="AB240" s="6"/>
      <c r="AC240" s="6"/>
      <c r="AD240" s="6"/>
      <c r="AE240" s="6"/>
      <c r="AF240" s="6"/>
      <c r="AG240" s="6"/>
      <c r="AH240" s="6"/>
      <c r="AI240" s="6"/>
    </row>
    <row r="241" spans="1:35" s="51" customFormat="1" ht="15.75">
      <c r="A241" s="6"/>
      <c r="B241" s="6"/>
      <c r="C241" s="6"/>
      <c r="D241" s="6"/>
      <c r="E241" s="6"/>
      <c r="F241" s="6"/>
      <c r="G241" s="6"/>
      <c r="H241" s="6"/>
      <c r="I241" s="6"/>
      <c r="J241" s="6"/>
      <c r="K241" s="6"/>
      <c r="M241" s="6"/>
      <c r="N241" s="6"/>
      <c r="O241" s="6"/>
      <c r="P241" s="6"/>
      <c r="Q241" s="6"/>
      <c r="R241" s="6"/>
      <c r="S241" s="6"/>
      <c r="T241" s="6"/>
      <c r="U241" s="6"/>
      <c r="V241" s="6"/>
      <c r="W241" s="6"/>
      <c r="X241" s="594"/>
      <c r="Y241" s="6"/>
      <c r="Z241" s="6"/>
      <c r="AA241" s="6"/>
      <c r="AB241" s="6"/>
      <c r="AC241" s="6"/>
      <c r="AD241" s="6"/>
      <c r="AE241" s="6"/>
      <c r="AF241" s="6"/>
      <c r="AG241" s="6"/>
      <c r="AH241" s="6"/>
      <c r="AI241" s="6"/>
    </row>
    <row r="242" spans="1:35" s="51" customFormat="1" ht="15.75">
      <c r="A242" s="6"/>
      <c r="B242" s="6"/>
      <c r="C242" s="6"/>
      <c r="D242" s="6"/>
      <c r="E242" s="6"/>
      <c r="F242" s="6"/>
      <c r="G242" s="6"/>
      <c r="H242" s="6"/>
      <c r="I242" s="6"/>
      <c r="J242" s="6"/>
      <c r="K242" s="6"/>
      <c r="M242" s="6"/>
      <c r="N242" s="6"/>
      <c r="O242" s="6"/>
      <c r="P242" s="6"/>
      <c r="Q242" s="6"/>
      <c r="R242" s="6"/>
      <c r="S242" s="6"/>
      <c r="T242" s="6"/>
      <c r="U242" s="6"/>
      <c r="V242" s="6"/>
      <c r="W242" s="6"/>
      <c r="X242" s="591"/>
      <c r="Y242" s="6"/>
      <c r="Z242" s="6"/>
      <c r="AA242" s="6"/>
      <c r="AB242" s="6"/>
      <c r="AC242" s="6"/>
      <c r="AD242" s="6"/>
      <c r="AE242" s="6"/>
      <c r="AF242" s="6"/>
      <c r="AG242" s="6"/>
      <c r="AH242" s="6"/>
      <c r="AI242" s="6"/>
    </row>
    <row r="243" spans="1:35" s="51" customFormat="1" ht="15.75">
      <c r="A243" s="6"/>
      <c r="B243" s="6"/>
      <c r="C243" s="6"/>
      <c r="D243" s="6"/>
      <c r="E243" s="6"/>
      <c r="F243" s="6"/>
      <c r="G243" s="6"/>
      <c r="H243" s="6"/>
      <c r="I243" s="6"/>
      <c r="J243" s="6"/>
      <c r="K243" s="6"/>
      <c r="M243" s="6"/>
      <c r="N243" s="6"/>
      <c r="O243" s="6"/>
      <c r="P243" s="6"/>
      <c r="Q243" s="6"/>
      <c r="R243" s="6"/>
      <c r="S243" s="6"/>
      <c r="T243" s="6"/>
      <c r="U243" s="6"/>
      <c r="V243" s="6"/>
      <c r="W243" s="6"/>
      <c r="X243" s="201"/>
      <c r="Y243" s="6"/>
      <c r="Z243" s="6"/>
      <c r="AA243" s="6"/>
      <c r="AB243" s="6"/>
      <c r="AC243" s="6"/>
      <c r="AD243" s="6"/>
      <c r="AE243" s="6"/>
      <c r="AF243" s="6"/>
      <c r="AG243" s="6"/>
      <c r="AH243" s="6"/>
      <c r="AI243" s="6"/>
    </row>
    <row r="244" spans="1:35" s="51" customFormat="1" ht="15.75">
      <c r="A244" s="6"/>
      <c r="B244" s="6"/>
      <c r="C244" s="6"/>
      <c r="D244" s="6"/>
      <c r="E244" s="6"/>
      <c r="F244" s="6"/>
      <c r="G244" s="6"/>
      <c r="H244" s="6"/>
      <c r="I244" s="6"/>
      <c r="J244" s="6"/>
      <c r="K244" s="6"/>
      <c r="M244" s="6"/>
      <c r="N244" s="6"/>
      <c r="O244" s="6"/>
      <c r="P244" s="6"/>
      <c r="Q244" s="6"/>
      <c r="R244" s="6"/>
      <c r="S244" s="6"/>
      <c r="T244" s="6"/>
      <c r="U244" s="6"/>
      <c r="V244" s="6"/>
      <c r="W244" s="6"/>
      <c r="X244" s="594"/>
      <c r="Y244" s="6"/>
      <c r="Z244" s="6"/>
      <c r="AA244" s="6"/>
      <c r="AB244" s="6"/>
      <c r="AC244" s="6"/>
      <c r="AD244" s="6"/>
      <c r="AE244" s="6"/>
      <c r="AF244" s="6"/>
      <c r="AG244" s="6"/>
      <c r="AH244" s="6"/>
      <c r="AI244" s="6"/>
    </row>
    <row r="245" spans="1:35" s="51" customFormat="1" ht="15.75">
      <c r="A245" s="6"/>
      <c r="B245" s="6"/>
      <c r="C245" s="6"/>
      <c r="D245" s="6"/>
      <c r="E245" s="6"/>
      <c r="F245" s="6"/>
      <c r="G245" s="6"/>
      <c r="H245" s="6"/>
      <c r="I245" s="6"/>
      <c r="J245" s="6"/>
      <c r="K245" s="6"/>
      <c r="M245" s="6"/>
      <c r="N245" s="6"/>
      <c r="O245" s="6"/>
      <c r="P245" s="6"/>
      <c r="Q245" s="6"/>
      <c r="R245" s="6"/>
      <c r="S245" s="6"/>
      <c r="T245" s="6"/>
      <c r="U245" s="6"/>
      <c r="V245" s="6"/>
      <c r="W245" s="6"/>
      <c r="X245" s="591"/>
      <c r="Y245" s="6"/>
      <c r="Z245" s="6"/>
      <c r="AA245" s="6"/>
      <c r="AB245" s="6"/>
      <c r="AC245" s="6"/>
      <c r="AD245" s="6"/>
      <c r="AE245" s="6"/>
      <c r="AF245" s="6"/>
      <c r="AG245" s="6"/>
      <c r="AH245" s="6"/>
      <c r="AI245" s="6"/>
    </row>
    <row r="246" spans="1:35" s="51" customFormat="1" ht="15.75">
      <c r="A246" s="6"/>
      <c r="B246" s="6"/>
      <c r="C246" s="6"/>
      <c r="D246" s="6"/>
      <c r="E246" s="6"/>
      <c r="F246" s="6"/>
      <c r="G246" s="6"/>
      <c r="H246" s="6"/>
      <c r="I246" s="6"/>
      <c r="J246" s="6"/>
      <c r="K246" s="6"/>
      <c r="M246" s="6"/>
      <c r="N246" s="6"/>
      <c r="O246" s="6"/>
      <c r="P246" s="6"/>
      <c r="Q246" s="6"/>
      <c r="R246" s="6"/>
      <c r="S246" s="6"/>
      <c r="T246" s="6"/>
      <c r="U246" s="6"/>
      <c r="V246" s="6"/>
      <c r="W246" s="6"/>
      <c r="X246" s="201"/>
      <c r="Y246" s="6"/>
      <c r="Z246" s="6"/>
      <c r="AA246" s="6"/>
      <c r="AB246" s="6"/>
      <c r="AC246" s="6"/>
      <c r="AD246" s="6"/>
      <c r="AE246" s="6"/>
      <c r="AF246" s="6"/>
      <c r="AG246" s="6"/>
      <c r="AH246" s="6"/>
      <c r="AI246" s="6"/>
    </row>
    <row r="247" spans="1:35" s="51" customFormat="1" ht="15.75">
      <c r="A247" s="6"/>
      <c r="B247" s="6"/>
      <c r="C247" s="6"/>
      <c r="D247" s="6"/>
      <c r="E247" s="6"/>
      <c r="F247" s="6"/>
      <c r="G247" s="6"/>
      <c r="H247" s="6"/>
      <c r="I247" s="6"/>
      <c r="J247" s="6"/>
      <c r="K247" s="6"/>
      <c r="M247" s="6"/>
      <c r="N247" s="6"/>
      <c r="O247" s="6"/>
      <c r="P247" s="6"/>
      <c r="Q247" s="6"/>
      <c r="R247" s="6"/>
      <c r="S247" s="6"/>
      <c r="T247" s="6"/>
      <c r="U247" s="6"/>
      <c r="V247" s="6"/>
      <c r="W247" s="6"/>
      <c r="X247" s="594"/>
      <c r="Y247" s="6"/>
      <c r="Z247" s="6"/>
      <c r="AA247" s="6"/>
      <c r="AB247" s="6"/>
      <c r="AC247" s="6"/>
      <c r="AD247" s="6"/>
      <c r="AE247" s="6"/>
      <c r="AF247" s="6"/>
      <c r="AG247" s="6"/>
      <c r="AH247" s="6"/>
      <c r="AI247" s="6"/>
    </row>
    <row r="248" spans="1:35" s="51" customFormat="1" ht="15.75">
      <c r="A248" s="6"/>
      <c r="B248" s="6"/>
      <c r="C248" s="6"/>
      <c r="D248" s="6"/>
      <c r="E248" s="6"/>
      <c r="F248" s="6"/>
      <c r="G248" s="6"/>
      <c r="H248" s="6"/>
      <c r="I248" s="6"/>
      <c r="J248" s="6"/>
      <c r="K248" s="6"/>
      <c r="M248" s="6"/>
      <c r="N248" s="6"/>
      <c r="O248" s="6"/>
      <c r="P248" s="6"/>
      <c r="Q248" s="6"/>
      <c r="R248" s="6"/>
      <c r="S248" s="6"/>
      <c r="T248" s="6"/>
      <c r="U248" s="6"/>
      <c r="V248" s="6"/>
      <c r="W248" s="6"/>
      <c r="X248" s="597"/>
      <c r="Y248" s="6"/>
      <c r="Z248" s="6"/>
      <c r="AA248" s="6"/>
      <c r="AB248" s="6"/>
      <c r="AC248" s="6"/>
      <c r="AD248" s="6"/>
      <c r="AE248" s="6"/>
      <c r="AF248" s="6"/>
      <c r="AG248" s="6"/>
      <c r="AH248" s="6"/>
      <c r="AI248" s="6"/>
    </row>
    <row r="249" spans="1:35" s="51" customFormat="1" ht="15.75">
      <c r="A249" s="6"/>
      <c r="B249" s="6"/>
      <c r="C249" s="6"/>
      <c r="D249" s="6"/>
      <c r="E249" s="6"/>
      <c r="F249" s="6"/>
      <c r="G249" s="6"/>
      <c r="H249" s="6"/>
      <c r="I249" s="6"/>
      <c r="J249" s="6"/>
      <c r="K249" s="6"/>
      <c r="M249" s="6"/>
      <c r="N249" s="6"/>
      <c r="O249" s="6"/>
      <c r="P249" s="6"/>
      <c r="Q249" s="6"/>
      <c r="R249" s="6"/>
      <c r="S249" s="6"/>
      <c r="T249" s="6"/>
      <c r="U249" s="6"/>
      <c r="V249" s="6"/>
      <c r="W249" s="6"/>
      <c r="Y249" s="6"/>
      <c r="Z249" s="6"/>
      <c r="AA249" s="6"/>
      <c r="AB249" s="6"/>
      <c r="AC249" s="6"/>
      <c r="AD249" s="6"/>
      <c r="AE249" s="6"/>
      <c r="AF249" s="6"/>
      <c r="AG249" s="6"/>
      <c r="AH249" s="6"/>
      <c r="AI249" s="6"/>
    </row>
  </sheetData>
  <sheetProtection algorithmName="SHA-512" hashValue="cWlzaxV+s8xH3uzXbwWAaPWDZXoezYByS4PnGD/2RwnOCTs8Ox0EViwlZ+DM9UdVGwT9RsxbZ0AH8fxrY4qeoQ==" saltValue="r8DiNYwBrhXurgAv5DCUsg==" spinCount="100000" sheet="1" objects="1" scenarios="1"/>
  <mergeCells count="41">
    <mergeCell ref="AG177:AI177"/>
    <mergeCell ref="AH178:AI178"/>
    <mergeCell ref="Y96:AI96"/>
    <mergeCell ref="Y114:AI114"/>
    <mergeCell ref="Y132:AI132"/>
    <mergeCell ref="Y150:AI150"/>
    <mergeCell ref="AG166:AI166"/>
    <mergeCell ref="Y3:AI3"/>
    <mergeCell ref="Y24:AI24"/>
    <mergeCell ref="Y42:AI42"/>
    <mergeCell ref="Y60:AI60"/>
    <mergeCell ref="Y78:AI78"/>
    <mergeCell ref="X27:X177"/>
    <mergeCell ref="Y1:AI1"/>
    <mergeCell ref="I177:K177"/>
    <mergeCell ref="A114:K114"/>
    <mergeCell ref="A132:K132"/>
    <mergeCell ref="I166:K166"/>
    <mergeCell ref="M3:W3"/>
    <mergeCell ref="M24:W24"/>
    <mergeCell ref="M42:W42"/>
    <mergeCell ref="M60:W60"/>
    <mergeCell ref="M78:W78"/>
    <mergeCell ref="M96:W96"/>
    <mergeCell ref="M114:W114"/>
    <mergeCell ref="M132:W132"/>
    <mergeCell ref="M150:W150"/>
    <mergeCell ref="U166:W166"/>
    <mergeCell ref="J178:K178"/>
    <mergeCell ref="A150:K150"/>
    <mergeCell ref="M1:W1"/>
    <mergeCell ref="A1:K1"/>
    <mergeCell ref="A24:K24"/>
    <mergeCell ref="A96:K96"/>
    <mergeCell ref="A3:K3"/>
    <mergeCell ref="L26:L27"/>
    <mergeCell ref="A42:K42"/>
    <mergeCell ref="A60:K60"/>
    <mergeCell ref="A78:K78"/>
    <mergeCell ref="U177:W177"/>
    <mergeCell ref="V178:W178"/>
  </mergeCells>
  <conditionalFormatting sqref="G5">
    <cfRule type="dataBar" priority="630">
      <dataBar>
        <cfvo type="min"/>
        <cfvo type="max"/>
        <color rgb="FF63C384"/>
      </dataBar>
    </cfRule>
  </conditionalFormatting>
  <conditionalFormatting sqref="G6:G8">
    <cfRule type="dataBar" priority="815">
      <dataBar>
        <cfvo type="min"/>
        <cfvo type="max"/>
        <color rgb="FF63C384"/>
      </dataBar>
    </cfRule>
  </conditionalFormatting>
  <conditionalFormatting sqref="G9:G10">
    <cfRule type="dataBar" priority="292">
      <dataBar>
        <cfvo type="min"/>
        <cfvo type="max"/>
        <color rgb="FF63C384"/>
      </dataBar>
    </cfRule>
  </conditionalFormatting>
  <conditionalFormatting sqref="G11:G13">
    <cfRule type="dataBar" priority="816">
      <dataBar>
        <cfvo type="min"/>
        <cfvo type="max"/>
        <color rgb="FF63C384"/>
      </dataBar>
    </cfRule>
  </conditionalFormatting>
  <conditionalFormatting sqref="G14:G15">
    <cfRule type="dataBar" priority="293">
      <dataBar>
        <cfvo type="min"/>
        <cfvo type="max"/>
        <color rgb="FF63C384"/>
      </dataBar>
    </cfRule>
  </conditionalFormatting>
  <conditionalFormatting sqref="G16">
    <cfRule type="dataBar" priority="289">
      <dataBar>
        <cfvo type="min"/>
        <cfvo type="max"/>
        <color rgb="FF63C384"/>
      </dataBar>
    </cfRule>
  </conditionalFormatting>
  <conditionalFormatting sqref="G17">
    <cfRule type="dataBar" priority="294">
      <dataBar>
        <cfvo type="min"/>
        <cfvo type="max"/>
        <color rgb="FF63C384"/>
      </dataBar>
    </cfRule>
  </conditionalFormatting>
  <conditionalFormatting sqref="G19:G20">
    <cfRule type="dataBar" priority="288">
      <dataBar>
        <cfvo type="min"/>
        <cfvo type="max"/>
        <color rgb="FF63C384"/>
      </dataBar>
    </cfRule>
  </conditionalFormatting>
  <conditionalFormatting sqref="G26">
    <cfRule type="dataBar" priority="231">
      <dataBar>
        <cfvo type="min"/>
        <cfvo type="max"/>
        <color rgb="FF63C384"/>
      </dataBar>
    </cfRule>
  </conditionalFormatting>
  <conditionalFormatting sqref="G27:G29">
    <cfRule type="dataBar" priority="232">
      <dataBar>
        <cfvo type="min"/>
        <cfvo type="max"/>
        <color rgb="FF63C384"/>
      </dataBar>
    </cfRule>
  </conditionalFormatting>
  <conditionalFormatting sqref="G30:G31">
    <cfRule type="dataBar" priority="228">
      <dataBar>
        <cfvo type="min"/>
        <cfvo type="max"/>
        <color rgb="FF63C384"/>
      </dataBar>
    </cfRule>
  </conditionalFormatting>
  <conditionalFormatting sqref="G32:G34">
    <cfRule type="dataBar" priority="233">
      <dataBar>
        <cfvo type="min"/>
        <cfvo type="max"/>
        <color rgb="FF63C384"/>
      </dataBar>
    </cfRule>
  </conditionalFormatting>
  <conditionalFormatting sqref="G35">
    <cfRule type="dataBar" priority="817">
      <dataBar>
        <cfvo type="min"/>
        <cfvo type="max"/>
        <color rgb="FF63C384"/>
      </dataBar>
    </cfRule>
  </conditionalFormatting>
  <conditionalFormatting sqref="G36">
    <cfRule type="dataBar" priority="230">
      <dataBar>
        <cfvo type="min"/>
        <cfvo type="max"/>
        <color rgb="FF63C384"/>
      </dataBar>
    </cfRule>
  </conditionalFormatting>
  <conditionalFormatting sqref="G38">
    <cfRule type="dataBar" priority="818">
      <dataBar>
        <cfvo type="min"/>
        <cfvo type="max"/>
        <color rgb="FF63C384"/>
      </dataBar>
    </cfRule>
  </conditionalFormatting>
  <conditionalFormatting sqref="G44">
    <cfRule type="dataBar" priority="173">
      <dataBar>
        <cfvo type="min"/>
        <cfvo type="max"/>
        <color rgb="FF63C384"/>
      </dataBar>
    </cfRule>
  </conditionalFormatting>
  <conditionalFormatting sqref="G45:G47">
    <cfRule type="dataBar" priority="174">
      <dataBar>
        <cfvo type="min"/>
        <cfvo type="max"/>
        <color rgb="FF63C384"/>
      </dataBar>
    </cfRule>
  </conditionalFormatting>
  <conditionalFormatting sqref="G48:G49">
    <cfRule type="dataBar" priority="171">
      <dataBar>
        <cfvo type="min"/>
        <cfvo type="max"/>
        <color rgb="FF63C384"/>
      </dataBar>
    </cfRule>
  </conditionalFormatting>
  <conditionalFormatting sqref="G50:G52">
    <cfRule type="dataBar" priority="175">
      <dataBar>
        <cfvo type="min"/>
        <cfvo type="max"/>
        <color rgb="FF63C384"/>
      </dataBar>
    </cfRule>
  </conditionalFormatting>
  <conditionalFormatting sqref="G53">
    <cfRule type="dataBar" priority="176">
      <dataBar>
        <cfvo type="min"/>
        <cfvo type="max"/>
        <color rgb="FF63C384"/>
      </dataBar>
    </cfRule>
  </conditionalFormatting>
  <conditionalFormatting sqref="G54">
    <cfRule type="dataBar" priority="172">
      <dataBar>
        <cfvo type="min"/>
        <cfvo type="max"/>
        <color rgb="FF63C384"/>
      </dataBar>
    </cfRule>
  </conditionalFormatting>
  <conditionalFormatting sqref="G56">
    <cfRule type="dataBar" priority="177">
      <dataBar>
        <cfvo type="min"/>
        <cfvo type="max"/>
        <color rgb="FF63C384"/>
      </dataBar>
    </cfRule>
  </conditionalFormatting>
  <conditionalFormatting sqref="G62">
    <cfRule type="dataBar" priority="166">
      <dataBar>
        <cfvo type="min"/>
        <cfvo type="max"/>
        <color rgb="FF63C384"/>
      </dataBar>
    </cfRule>
  </conditionalFormatting>
  <conditionalFormatting sqref="G63:G65">
    <cfRule type="dataBar" priority="167">
      <dataBar>
        <cfvo type="min"/>
        <cfvo type="max"/>
        <color rgb="FF63C384"/>
      </dataBar>
    </cfRule>
  </conditionalFormatting>
  <conditionalFormatting sqref="G66:G67">
    <cfRule type="dataBar" priority="164">
      <dataBar>
        <cfvo type="min"/>
        <cfvo type="max"/>
        <color rgb="FF63C384"/>
      </dataBar>
    </cfRule>
  </conditionalFormatting>
  <conditionalFormatting sqref="G68:G70">
    <cfRule type="dataBar" priority="168">
      <dataBar>
        <cfvo type="min"/>
        <cfvo type="max"/>
        <color rgb="FF63C384"/>
      </dataBar>
    </cfRule>
  </conditionalFormatting>
  <conditionalFormatting sqref="G71">
    <cfRule type="dataBar" priority="169">
      <dataBar>
        <cfvo type="min"/>
        <cfvo type="max"/>
        <color rgb="FF63C384"/>
      </dataBar>
    </cfRule>
  </conditionalFormatting>
  <conditionalFormatting sqref="G72">
    <cfRule type="dataBar" priority="165">
      <dataBar>
        <cfvo type="min"/>
        <cfvo type="max"/>
        <color rgb="FF63C384"/>
      </dataBar>
    </cfRule>
  </conditionalFormatting>
  <conditionalFormatting sqref="G74">
    <cfRule type="dataBar" priority="170">
      <dataBar>
        <cfvo type="min"/>
        <cfvo type="max"/>
        <color rgb="FF63C384"/>
      </dataBar>
    </cfRule>
  </conditionalFormatting>
  <conditionalFormatting sqref="G80">
    <cfRule type="dataBar" priority="159">
      <dataBar>
        <cfvo type="min"/>
        <cfvo type="max"/>
        <color rgb="FF63C384"/>
      </dataBar>
    </cfRule>
  </conditionalFormatting>
  <conditionalFormatting sqref="G81:G83">
    <cfRule type="dataBar" priority="160">
      <dataBar>
        <cfvo type="min"/>
        <cfvo type="max"/>
        <color rgb="FF63C384"/>
      </dataBar>
    </cfRule>
  </conditionalFormatting>
  <conditionalFormatting sqref="G84:G85">
    <cfRule type="dataBar" priority="157">
      <dataBar>
        <cfvo type="min"/>
        <cfvo type="max"/>
        <color rgb="FF63C384"/>
      </dataBar>
    </cfRule>
  </conditionalFormatting>
  <conditionalFormatting sqref="G86:G88">
    <cfRule type="dataBar" priority="161">
      <dataBar>
        <cfvo type="min"/>
        <cfvo type="max"/>
        <color rgb="FF63C384"/>
      </dataBar>
    </cfRule>
  </conditionalFormatting>
  <conditionalFormatting sqref="G89">
    <cfRule type="dataBar" priority="162">
      <dataBar>
        <cfvo type="min"/>
        <cfvo type="max"/>
        <color rgb="FF63C384"/>
      </dataBar>
    </cfRule>
  </conditionalFormatting>
  <conditionalFormatting sqref="G90">
    <cfRule type="dataBar" priority="158">
      <dataBar>
        <cfvo type="min"/>
        <cfvo type="max"/>
        <color rgb="FF63C384"/>
      </dataBar>
    </cfRule>
  </conditionalFormatting>
  <conditionalFormatting sqref="G92">
    <cfRule type="dataBar" priority="163">
      <dataBar>
        <cfvo type="min"/>
        <cfvo type="max"/>
        <color rgb="FF63C384"/>
      </dataBar>
    </cfRule>
  </conditionalFormatting>
  <conditionalFormatting sqref="G98">
    <cfRule type="dataBar" priority="152">
      <dataBar>
        <cfvo type="min"/>
        <cfvo type="max"/>
        <color rgb="FF63C384"/>
      </dataBar>
    </cfRule>
  </conditionalFormatting>
  <conditionalFormatting sqref="G99:G101">
    <cfRule type="dataBar" priority="153">
      <dataBar>
        <cfvo type="min"/>
        <cfvo type="max"/>
        <color rgb="FF63C384"/>
      </dataBar>
    </cfRule>
  </conditionalFormatting>
  <conditionalFormatting sqref="G102:G103">
    <cfRule type="dataBar" priority="150">
      <dataBar>
        <cfvo type="min"/>
        <cfvo type="max"/>
        <color rgb="FF63C384"/>
      </dataBar>
    </cfRule>
  </conditionalFormatting>
  <conditionalFormatting sqref="G104:G106">
    <cfRule type="dataBar" priority="154">
      <dataBar>
        <cfvo type="min"/>
        <cfvo type="max"/>
        <color rgb="FF63C384"/>
      </dataBar>
    </cfRule>
  </conditionalFormatting>
  <conditionalFormatting sqref="G107">
    <cfRule type="dataBar" priority="155">
      <dataBar>
        <cfvo type="min"/>
        <cfvo type="max"/>
        <color rgb="FF63C384"/>
      </dataBar>
    </cfRule>
  </conditionalFormatting>
  <conditionalFormatting sqref="G108">
    <cfRule type="dataBar" priority="151">
      <dataBar>
        <cfvo type="min"/>
        <cfvo type="max"/>
        <color rgb="FF63C384"/>
      </dataBar>
    </cfRule>
  </conditionalFormatting>
  <conditionalFormatting sqref="G110">
    <cfRule type="dataBar" priority="156">
      <dataBar>
        <cfvo type="min"/>
        <cfvo type="max"/>
        <color rgb="FF63C384"/>
      </dataBar>
    </cfRule>
  </conditionalFormatting>
  <conditionalFormatting sqref="G116">
    <cfRule type="dataBar" priority="145">
      <dataBar>
        <cfvo type="min"/>
        <cfvo type="max"/>
        <color rgb="FF63C384"/>
      </dataBar>
    </cfRule>
  </conditionalFormatting>
  <conditionalFormatting sqref="G117:G119">
    <cfRule type="dataBar" priority="146">
      <dataBar>
        <cfvo type="min"/>
        <cfvo type="max"/>
        <color rgb="FF63C384"/>
      </dataBar>
    </cfRule>
  </conditionalFormatting>
  <conditionalFormatting sqref="G120:G121">
    <cfRule type="dataBar" priority="143">
      <dataBar>
        <cfvo type="min"/>
        <cfvo type="max"/>
        <color rgb="FF63C384"/>
      </dataBar>
    </cfRule>
  </conditionalFormatting>
  <conditionalFormatting sqref="G122:G124">
    <cfRule type="dataBar" priority="147">
      <dataBar>
        <cfvo type="min"/>
        <cfvo type="max"/>
        <color rgb="FF63C384"/>
      </dataBar>
    </cfRule>
  </conditionalFormatting>
  <conditionalFormatting sqref="G125">
    <cfRule type="dataBar" priority="148">
      <dataBar>
        <cfvo type="min"/>
        <cfvo type="max"/>
        <color rgb="FF63C384"/>
      </dataBar>
    </cfRule>
  </conditionalFormatting>
  <conditionalFormatting sqref="G126">
    <cfRule type="dataBar" priority="144">
      <dataBar>
        <cfvo type="min"/>
        <cfvo type="max"/>
        <color rgb="FF63C384"/>
      </dataBar>
    </cfRule>
  </conditionalFormatting>
  <conditionalFormatting sqref="G128">
    <cfRule type="dataBar" priority="149">
      <dataBar>
        <cfvo type="min"/>
        <cfvo type="max"/>
        <color rgb="FF63C384"/>
      </dataBar>
    </cfRule>
  </conditionalFormatting>
  <conditionalFormatting sqref="G134">
    <cfRule type="dataBar" priority="138">
      <dataBar>
        <cfvo type="min"/>
        <cfvo type="max"/>
        <color rgb="FF63C384"/>
      </dataBar>
    </cfRule>
  </conditionalFormatting>
  <conditionalFormatting sqref="G135:G137">
    <cfRule type="dataBar" priority="139">
      <dataBar>
        <cfvo type="min"/>
        <cfvo type="max"/>
        <color rgb="FF63C384"/>
      </dataBar>
    </cfRule>
  </conditionalFormatting>
  <conditionalFormatting sqref="G138:G139">
    <cfRule type="dataBar" priority="136">
      <dataBar>
        <cfvo type="min"/>
        <cfvo type="max"/>
        <color rgb="FF63C384"/>
      </dataBar>
    </cfRule>
  </conditionalFormatting>
  <conditionalFormatting sqref="G140:G142">
    <cfRule type="dataBar" priority="140">
      <dataBar>
        <cfvo type="min"/>
        <cfvo type="max"/>
        <color rgb="FF63C384"/>
      </dataBar>
    </cfRule>
  </conditionalFormatting>
  <conditionalFormatting sqref="G143">
    <cfRule type="dataBar" priority="141">
      <dataBar>
        <cfvo type="min"/>
        <cfvo type="max"/>
        <color rgb="FF63C384"/>
      </dataBar>
    </cfRule>
  </conditionalFormatting>
  <conditionalFormatting sqref="G144">
    <cfRule type="dataBar" priority="137">
      <dataBar>
        <cfvo type="min"/>
        <cfvo type="max"/>
        <color rgb="FF63C384"/>
      </dataBar>
    </cfRule>
  </conditionalFormatting>
  <conditionalFormatting sqref="G146">
    <cfRule type="dataBar" priority="142">
      <dataBar>
        <cfvo type="min"/>
        <cfvo type="max"/>
        <color rgb="FF63C384"/>
      </dataBar>
    </cfRule>
  </conditionalFormatting>
  <conditionalFormatting sqref="G152">
    <cfRule type="dataBar" priority="131">
      <dataBar>
        <cfvo type="min"/>
        <cfvo type="max"/>
        <color rgb="FF63C384"/>
      </dataBar>
    </cfRule>
  </conditionalFormatting>
  <conditionalFormatting sqref="G153:G155">
    <cfRule type="dataBar" priority="132">
      <dataBar>
        <cfvo type="min"/>
        <cfvo type="max"/>
        <color rgb="FF63C384"/>
      </dataBar>
    </cfRule>
  </conditionalFormatting>
  <conditionalFormatting sqref="G156:G157">
    <cfRule type="dataBar" priority="129">
      <dataBar>
        <cfvo type="min"/>
        <cfvo type="max"/>
        <color rgb="FF63C384"/>
      </dataBar>
    </cfRule>
  </conditionalFormatting>
  <conditionalFormatting sqref="G158:G160">
    <cfRule type="dataBar" priority="133">
      <dataBar>
        <cfvo type="min"/>
        <cfvo type="max"/>
        <color rgb="FF63C384"/>
      </dataBar>
    </cfRule>
  </conditionalFormatting>
  <conditionalFormatting sqref="G161">
    <cfRule type="dataBar" priority="134">
      <dataBar>
        <cfvo type="min"/>
        <cfvo type="max"/>
        <color rgb="FF63C384"/>
      </dataBar>
    </cfRule>
  </conditionalFormatting>
  <conditionalFormatting sqref="G162">
    <cfRule type="dataBar" priority="130">
      <dataBar>
        <cfvo type="min"/>
        <cfvo type="max"/>
        <color rgb="FF63C384"/>
      </dataBar>
    </cfRule>
  </conditionalFormatting>
  <conditionalFormatting sqref="G164">
    <cfRule type="dataBar" priority="135">
      <dataBar>
        <cfvo type="min"/>
        <cfvo type="max"/>
        <color rgb="FF63C384"/>
      </dataBar>
    </cfRule>
  </conditionalFormatting>
  <conditionalFormatting sqref="S5">
    <cfRule type="dataBar" priority="124">
      <dataBar>
        <cfvo type="min"/>
        <cfvo type="max"/>
        <color rgb="FF63C384"/>
      </dataBar>
    </cfRule>
  </conditionalFormatting>
  <conditionalFormatting sqref="S6:S8">
    <cfRule type="dataBar" priority="125">
      <dataBar>
        <cfvo type="min"/>
        <cfvo type="max"/>
        <color rgb="FF63C384"/>
      </dataBar>
    </cfRule>
  </conditionalFormatting>
  <conditionalFormatting sqref="S9:S10">
    <cfRule type="dataBar" priority="121">
      <dataBar>
        <cfvo type="min"/>
        <cfvo type="max"/>
        <color rgb="FF63C384"/>
      </dataBar>
    </cfRule>
  </conditionalFormatting>
  <conditionalFormatting sqref="S11:S13">
    <cfRule type="dataBar" priority="126">
      <dataBar>
        <cfvo type="min"/>
        <cfvo type="max"/>
        <color rgb="FF63C384"/>
      </dataBar>
    </cfRule>
  </conditionalFormatting>
  <conditionalFormatting sqref="S14:S15">
    <cfRule type="dataBar" priority="122">
      <dataBar>
        <cfvo type="min"/>
        <cfvo type="max"/>
        <color rgb="FF63C384"/>
      </dataBar>
    </cfRule>
  </conditionalFormatting>
  <conditionalFormatting sqref="S16">
    <cfRule type="dataBar" priority="120">
      <dataBar>
        <cfvo type="min"/>
        <cfvo type="max"/>
        <color rgb="FF63C384"/>
      </dataBar>
    </cfRule>
  </conditionalFormatting>
  <conditionalFormatting sqref="S17">
    <cfRule type="dataBar" priority="123">
      <dataBar>
        <cfvo type="min"/>
        <cfvo type="max"/>
        <color rgb="FF63C384"/>
      </dataBar>
    </cfRule>
  </conditionalFormatting>
  <conditionalFormatting sqref="S19:S20">
    <cfRule type="dataBar" priority="119">
      <dataBar>
        <cfvo type="min"/>
        <cfvo type="max"/>
        <color rgb="FF63C384"/>
      </dataBar>
    </cfRule>
  </conditionalFormatting>
  <conditionalFormatting sqref="S26">
    <cfRule type="dataBar" priority="116">
      <dataBar>
        <cfvo type="min"/>
        <cfvo type="max"/>
        <color rgb="FF63C384"/>
      </dataBar>
    </cfRule>
  </conditionalFormatting>
  <conditionalFormatting sqref="S27:S29">
    <cfRule type="dataBar" priority="117">
      <dataBar>
        <cfvo type="min"/>
        <cfvo type="max"/>
        <color rgb="FF63C384"/>
      </dataBar>
    </cfRule>
  </conditionalFormatting>
  <conditionalFormatting sqref="S30:S31">
    <cfRule type="dataBar" priority="114">
      <dataBar>
        <cfvo type="min"/>
        <cfvo type="max"/>
        <color rgb="FF63C384"/>
      </dataBar>
    </cfRule>
  </conditionalFormatting>
  <conditionalFormatting sqref="S32:S34">
    <cfRule type="dataBar" priority="118">
      <dataBar>
        <cfvo type="min"/>
        <cfvo type="max"/>
        <color rgb="FF63C384"/>
      </dataBar>
    </cfRule>
  </conditionalFormatting>
  <conditionalFormatting sqref="S35">
    <cfRule type="dataBar" priority="127">
      <dataBar>
        <cfvo type="min"/>
        <cfvo type="max"/>
        <color rgb="FF63C384"/>
      </dataBar>
    </cfRule>
  </conditionalFormatting>
  <conditionalFormatting sqref="S36">
    <cfRule type="dataBar" priority="115">
      <dataBar>
        <cfvo type="min"/>
        <cfvo type="max"/>
        <color rgb="FF63C384"/>
      </dataBar>
    </cfRule>
  </conditionalFormatting>
  <conditionalFormatting sqref="S38">
    <cfRule type="dataBar" priority="128">
      <dataBar>
        <cfvo type="min"/>
        <cfvo type="max"/>
        <color rgb="FF63C384"/>
      </dataBar>
    </cfRule>
  </conditionalFormatting>
  <conditionalFormatting sqref="S44">
    <cfRule type="dataBar" priority="109">
      <dataBar>
        <cfvo type="min"/>
        <cfvo type="max"/>
        <color rgb="FF63C384"/>
      </dataBar>
    </cfRule>
  </conditionalFormatting>
  <conditionalFormatting sqref="S45:S47">
    <cfRule type="dataBar" priority="110">
      <dataBar>
        <cfvo type="min"/>
        <cfvo type="max"/>
        <color rgb="FF63C384"/>
      </dataBar>
    </cfRule>
  </conditionalFormatting>
  <conditionalFormatting sqref="S48:S49">
    <cfRule type="dataBar" priority="107">
      <dataBar>
        <cfvo type="min"/>
        <cfvo type="max"/>
        <color rgb="FF63C384"/>
      </dataBar>
    </cfRule>
  </conditionalFormatting>
  <conditionalFormatting sqref="S50:S52">
    <cfRule type="dataBar" priority="111">
      <dataBar>
        <cfvo type="min"/>
        <cfvo type="max"/>
        <color rgb="FF63C384"/>
      </dataBar>
    </cfRule>
  </conditionalFormatting>
  <conditionalFormatting sqref="S53">
    <cfRule type="dataBar" priority="112">
      <dataBar>
        <cfvo type="min"/>
        <cfvo type="max"/>
        <color rgb="FF63C384"/>
      </dataBar>
    </cfRule>
  </conditionalFormatting>
  <conditionalFormatting sqref="S54">
    <cfRule type="dataBar" priority="108">
      <dataBar>
        <cfvo type="min"/>
        <cfvo type="max"/>
        <color rgb="FF63C384"/>
      </dataBar>
    </cfRule>
  </conditionalFormatting>
  <conditionalFormatting sqref="S56">
    <cfRule type="dataBar" priority="113">
      <dataBar>
        <cfvo type="min"/>
        <cfvo type="max"/>
        <color rgb="FF63C384"/>
      </dataBar>
    </cfRule>
  </conditionalFormatting>
  <conditionalFormatting sqref="S62">
    <cfRule type="dataBar" priority="102">
      <dataBar>
        <cfvo type="min"/>
        <cfvo type="max"/>
        <color rgb="FF63C384"/>
      </dataBar>
    </cfRule>
  </conditionalFormatting>
  <conditionalFormatting sqref="S63:S65">
    <cfRule type="dataBar" priority="103">
      <dataBar>
        <cfvo type="min"/>
        <cfvo type="max"/>
        <color rgb="FF63C384"/>
      </dataBar>
    </cfRule>
  </conditionalFormatting>
  <conditionalFormatting sqref="S66:S67">
    <cfRule type="dataBar" priority="100">
      <dataBar>
        <cfvo type="min"/>
        <cfvo type="max"/>
        <color rgb="FF63C384"/>
      </dataBar>
    </cfRule>
  </conditionalFormatting>
  <conditionalFormatting sqref="S68:S70">
    <cfRule type="dataBar" priority="104">
      <dataBar>
        <cfvo type="min"/>
        <cfvo type="max"/>
        <color rgb="FF63C384"/>
      </dataBar>
    </cfRule>
  </conditionalFormatting>
  <conditionalFormatting sqref="S71">
    <cfRule type="dataBar" priority="105">
      <dataBar>
        <cfvo type="min"/>
        <cfvo type="max"/>
        <color rgb="FF63C384"/>
      </dataBar>
    </cfRule>
  </conditionalFormatting>
  <conditionalFormatting sqref="S72">
    <cfRule type="dataBar" priority="101">
      <dataBar>
        <cfvo type="min"/>
        <cfvo type="max"/>
        <color rgb="FF63C384"/>
      </dataBar>
    </cfRule>
  </conditionalFormatting>
  <conditionalFormatting sqref="S74">
    <cfRule type="dataBar" priority="106">
      <dataBar>
        <cfvo type="min"/>
        <cfvo type="max"/>
        <color rgb="FF63C384"/>
      </dataBar>
    </cfRule>
  </conditionalFormatting>
  <conditionalFormatting sqref="S80">
    <cfRule type="dataBar" priority="95">
      <dataBar>
        <cfvo type="min"/>
        <cfvo type="max"/>
        <color rgb="FF63C384"/>
      </dataBar>
    </cfRule>
  </conditionalFormatting>
  <conditionalFormatting sqref="S81:S83">
    <cfRule type="dataBar" priority="96">
      <dataBar>
        <cfvo type="min"/>
        <cfvo type="max"/>
        <color rgb="FF63C384"/>
      </dataBar>
    </cfRule>
  </conditionalFormatting>
  <conditionalFormatting sqref="S84:S85">
    <cfRule type="dataBar" priority="93">
      <dataBar>
        <cfvo type="min"/>
        <cfvo type="max"/>
        <color rgb="FF63C384"/>
      </dataBar>
    </cfRule>
  </conditionalFormatting>
  <conditionalFormatting sqref="S86:S88">
    <cfRule type="dataBar" priority="97">
      <dataBar>
        <cfvo type="min"/>
        <cfvo type="max"/>
        <color rgb="FF63C384"/>
      </dataBar>
    </cfRule>
  </conditionalFormatting>
  <conditionalFormatting sqref="S89">
    <cfRule type="dataBar" priority="98">
      <dataBar>
        <cfvo type="min"/>
        <cfvo type="max"/>
        <color rgb="FF63C384"/>
      </dataBar>
    </cfRule>
  </conditionalFormatting>
  <conditionalFormatting sqref="S90">
    <cfRule type="dataBar" priority="94">
      <dataBar>
        <cfvo type="min"/>
        <cfvo type="max"/>
        <color rgb="FF63C384"/>
      </dataBar>
    </cfRule>
  </conditionalFormatting>
  <conditionalFormatting sqref="S92">
    <cfRule type="dataBar" priority="99">
      <dataBar>
        <cfvo type="min"/>
        <cfvo type="max"/>
        <color rgb="FF63C384"/>
      </dataBar>
    </cfRule>
  </conditionalFormatting>
  <conditionalFormatting sqref="S98">
    <cfRule type="dataBar" priority="88">
      <dataBar>
        <cfvo type="min"/>
        <cfvo type="max"/>
        <color rgb="FF63C384"/>
      </dataBar>
    </cfRule>
  </conditionalFormatting>
  <conditionalFormatting sqref="S99:S101">
    <cfRule type="dataBar" priority="89">
      <dataBar>
        <cfvo type="min"/>
        <cfvo type="max"/>
        <color rgb="FF63C384"/>
      </dataBar>
    </cfRule>
  </conditionalFormatting>
  <conditionalFormatting sqref="S102:S103">
    <cfRule type="dataBar" priority="86">
      <dataBar>
        <cfvo type="min"/>
        <cfvo type="max"/>
        <color rgb="FF63C384"/>
      </dataBar>
    </cfRule>
  </conditionalFormatting>
  <conditionalFormatting sqref="S104:S106">
    <cfRule type="dataBar" priority="90">
      <dataBar>
        <cfvo type="min"/>
        <cfvo type="max"/>
        <color rgb="FF63C384"/>
      </dataBar>
    </cfRule>
  </conditionalFormatting>
  <conditionalFormatting sqref="S107">
    <cfRule type="dataBar" priority="91">
      <dataBar>
        <cfvo type="min"/>
        <cfvo type="max"/>
        <color rgb="FF63C384"/>
      </dataBar>
    </cfRule>
  </conditionalFormatting>
  <conditionalFormatting sqref="S108">
    <cfRule type="dataBar" priority="87">
      <dataBar>
        <cfvo type="min"/>
        <cfvo type="max"/>
        <color rgb="FF63C384"/>
      </dataBar>
    </cfRule>
  </conditionalFormatting>
  <conditionalFormatting sqref="S110">
    <cfRule type="dataBar" priority="92">
      <dataBar>
        <cfvo type="min"/>
        <cfvo type="max"/>
        <color rgb="FF63C384"/>
      </dataBar>
    </cfRule>
  </conditionalFormatting>
  <conditionalFormatting sqref="S116">
    <cfRule type="dataBar" priority="81">
      <dataBar>
        <cfvo type="min"/>
        <cfvo type="max"/>
        <color rgb="FF63C384"/>
      </dataBar>
    </cfRule>
  </conditionalFormatting>
  <conditionalFormatting sqref="S117:S119">
    <cfRule type="dataBar" priority="82">
      <dataBar>
        <cfvo type="min"/>
        <cfvo type="max"/>
        <color rgb="FF63C384"/>
      </dataBar>
    </cfRule>
  </conditionalFormatting>
  <conditionalFormatting sqref="S120:S121">
    <cfRule type="dataBar" priority="79">
      <dataBar>
        <cfvo type="min"/>
        <cfvo type="max"/>
        <color rgb="FF63C384"/>
      </dataBar>
    </cfRule>
  </conditionalFormatting>
  <conditionalFormatting sqref="S122:S124">
    <cfRule type="dataBar" priority="83">
      <dataBar>
        <cfvo type="min"/>
        <cfvo type="max"/>
        <color rgb="FF63C384"/>
      </dataBar>
    </cfRule>
  </conditionalFormatting>
  <conditionalFormatting sqref="S125">
    <cfRule type="dataBar" priority="84">
      <dataBar>
        <cfvo type="min"/>
        <cfvo type="max"/>
        <color rgb="FF63C384"/>
      </dataBar>
    </cfRule>
  </conditionalFormatting>
  <conditionalFormatting sqref="S126">
    <cfRule type="dataBar" priority="80">
      <dataBar>
        <cfvo type="min"/>
        <cfvo type="max"/>
        <color rgb="FF63C384"/>
      </dataBar>
    </cfRule>
  </conditionalFormatting>
  <conditionalFormatting sqref="S128">
    <cfRule type="dataBar" priority="85">
      <dataBar>
        <cfvo type="min"/>
        <cfvo type="max"/>
        <color rgb="FF63C384"/>
      </dataBar>
    </cfRule>
  </conditionalFormatting>
  <conditionalFormatting sqref="S134">
    <cfRule type="dataBar" priority="74">
      <dataBar>
        <cfvo type="min"/>
        <cfvo type="max"/>
        <color rgb="FF63C384"/>
      </dataBar>
    </cfRule>
  </conditionalFormatting>
  <conditionalFormatting sqref="S135:S137">
    <cfRule type="dataBar" priority="75">
      <dataBar>
        <cfvo type="min"/>
        <cfvo type="max"/>
        <color rgb="FF63C384"/>
      </dataBar>
    </cfRule>
  </conditionalFormatting>
  <conditionalFormatting sqref="S138:S139">
    <cfRule type="dataBar" priority="72">
      <dataBar>
        <cfvo type="min"/>
        <cfvo type="max"/>
        <color rgb="FF63C384"/>
      </dataBar>
    </cfRule>
  </conditionalFormatting>
  <conditionalFormatting sqref="S140:S142">
    <cfRule type="dataBar" priority="76">
      <dataBar>
        <cfvo type="min"/>
        <cfvo type="max"/>
        <color rgb="FF63C384"/>
      </dataBar>
    </cfRule>
  </conditionalFormatting>
  <conditionalFormatting sqref="S143">
    <cfRule type="dataBar" priority="77">
      <dataBar>
        <cfvo type="min"/>
        <cfvo type="max"/>
        <color rgb="FF63C384"/>
      </dataBar>
    </cfRule>
  </conditionalFormatting>
  <conditionalFormatting sqref="S144">
    <cfRule type="dataBar" priority="73">
      <dataBar>
        <cfvo type="min"/>
        <cfvo type="max"/>
        <color rgb="FF63C384"/>
      </dataBar>
    </cfRule>
  </conditionalFormatting>
  <conditionalFormatting sqref="S146">
    <cfRule type="dataBar" priority="78">
      <dataBar>
        <cfvo type="min"/>
        <cfvo type="max"/>
        <color rgb="FF63C384"/>
      </dataBar>
    </cfRule>
  </conditionalFormatting>
  <conditionalFormatting sqref="S152">
    <cfRule type="dataBar" priority="67">
      <dataBar>
        <cfvo type="min"/>
        <cfvo type="max"/>
        <color rgb="FF63C384"/>
      </dataBar>
    </cfRule>
  </conditionalFormatting>
  <conditionalFormatting sqref="S153:S155">
    <cfRule type="dataBar" priority="68">
      <dataBar>
        <cfvo type="min"/>
        <cfvo type="max"/>
        <color rgb="FF63C384"/>
      </dataBar>
    </cfRule>
  </conditionalFormatting>
  <conditionalFormatting sqref="S156:S157">
    <cfRule type="dataBar" priority="65">
      <dataBar>
        <cfvo type="min"/>
        <cfvo type="max"/>
        <color rgb="FF63C384"/>
      </dataBar>
    </cfRule>
  </conditionalFormatting>
  <conditionalFormatting sqref="S158:S160">
    <cfRule type="dataBar" priority="69">
      <dataBar>
        <cfvo type="min"/>
        <cfvo type="max"/>
        <color rgb="FF63C384"/>
      </dataBar>
    </cfRule>
  </conditionalFormatting>
  <conditionalFormatting sqref="S161">
    <cfRule type="dataBar" priority="70">
      <dataBar>
        <cfvo type="min"/>
        <cfvo type="max"/>
        <color rgb="FF63C384"/>
      </dataBar>
    </cfRule>
  </conditionalFormatting>
  <conditionalFormatting sqref="S162">
    <cfRule type="dataBar" priority="66">
      <dataBar>
        <cfvo type="min"/>
        <cfvo type="max"/>
        <color rgb="FF63C384"/>
      </dataBar>
    </cfRule>
  </conditionalFormatting>
  <conditionalFormatting sqref="S164">
    <cfRule type="dataBar" priority="71">
      <dataBar>
        <cfvo type="min"/>
        <cfvo type="max"/>
        <color rgb="FF63C384"/>
      </dataBar>
    </cfRule>
  </conditionalFormatting>
  <conditionalFormatting sqref="AE5">
    <cfRule type="dataBar" priority="60">
      <dataBar>
        <cfvo type="min"/>
        <cfvo type="max"/>
        <color rgb="FF63C384"/>
      </dataBar>
    </cfRule>
  </conditionalFormatting>
  <conditionalFormatting sqref="AE6:AE8">
    <cfRule type="dataBar" priority="61">
      <dataBar>
        <cfvo type="min"/>
        <cfvo type="max"/>
        <color rgb="FF63C384"/>
      </dataBar>
    </cfRule>
  </conditionalFormatting>
  <conditionalFormatting sqref="AE9:AE10">
    <cfRule type="dataBar" priority="57">
      <dataBar>
        <cfvo type="min"/>
        <cfvo type="max"/>
        <color rgb="FF63C384"/>
      </dataBar>
    </cfRule>
  </conditionalFormatting>
  <conditionalFormatting sqref="AE11:AE13">
    <cfRule type="dataBar" priority="62">
      <dataBar>
        <cfvo type="min"/>
        <cfvo type="max"/>
        <color rgb="FF63C384"/>
      </dataBar>
    </cfRule>
  </conditionalFormatting>
  <conditionalFormatting sqref="AE14:AE15">
    <cfRule type="dataBar" priority="58">
      <dataBar>
        <cfvo type="min"/>
        <cfvo type="max"/>
        <color rgb="FF63C384"/>
      </dataBar>
    </cfRule>
  </conditionalFormatting>
  <conditionalFormatting sqref="AE16">
    <cfRule type="dataBar" priority="56">
      <dataBar>
        <cfvo type="min"/>
        <cfvo type="max"/>
        <color rgb="FF63C384"/>
      </dataBar>
    </cfRule>
  </conditionalFormatting>
  <conditionalFormatting sqref="AE17">
    <cfRule type="dataBar" priority="59">
      <dataBar>
        <cfvo type="min"/>
        <cfvo type="max"/>
        <color rgb="FF63C384"/>
      </dataBar>
    </cfRule>
  </conditionalFormatting>
  <conditionalFormatting sqref="AE19:AE20">
    <cfRule type="dataBar" priority="55">
      <dataBar>
        <cfvo type="min"/>
        <cfvo type="max"/>
        <color rgb="FF63C384"/>
      </dataBar>
    </cfRule>
  </conditionalFormatting>
  <conditionalFormatting sqref="AE26">
    <cfRule type="dataBar" priority="52">
      <dataBar>
        <cfvo type="min"/>
        <cfvo type="max"/>
        <color rgb="FF63C384"/>
      </dataBar>
    </cfRule>
  </conditionalFormatting>
  <conditionalFormatting sqref="AE27:AE29">
    <cfRule type="dataBar" priority="53">
      <dataBar>
        <cfvo type="min"/>
        <cfvo type="max"/>
        <color rgb="FF63C384"/>
      </dataBar>
    </cfRule>
  </conditionalFormatting>
  <conditionalFormatting sqref="AE30:AE31">
    <cfRule type="dataBar" priority="50">
      <dataBar>
        <cfvo type="min"/>
        <cfvo type="max"/>
        <color rgb="FF63C384"/>
      </dataBar>
    </cfRule>
  </conditionalFormatting>
  <conditionalFormatting sqref="AE32:AE34">
    <cfRule type="dataBar" priority="54">
      <dataBar>
        <cfvo type="min"/>
        <cfvo type="max"/>
        <color rgb="FF63C384"/>
      </dataBar>
    </cfRule>
  </conditionalFormatting>
  <conditionalFormatting sqref="AE35">
    <cfRule type="dataBar" priority="63">
      <dataBar>
        <cfvo type="min"/>
        <cfvo type="max"/>
        <color rgb="FF63C384"/>
      </dataBar>
    </cfRule>
  </conditionalFormatting>
  <conditionalFormatting sqref="AE36">
    <cfRule type="dataBar" priority="51">
      <dataBar>
        <cfvo type="min"/>
        <cfvo type="max"/>
        <color rgb="FF63C384"/>
      </dataBar>
    </cfRule>
  </conditionalFormatting>
  <conditionalFormatting sqref="AE38">
    <cfRule type="dataBar" priority="64">
      <dataBar>
        <cfvo type="min"/>
        <cfvo type="max"/>
        <color rgb="FF63C384"/>
      </dataBar>
    </cfRule>
  </conditionalFormatting>
  <conditionalFormatting sqref="AE44">
    <cfRule type="dataBar" priority="45">
      <dataBar>
        <cfvo type="min"/>
        <cfvo type="max"/>
        <color rgb="FF63C384"/>
      </dataBar>
    </cfRule>
  </conditionalFormatting>
  <conditionalFormatting sqref="AE45:AE47">
    <cfRule type="dataBar" priority="46">
      <dataBar>
        <cfvo type="min"/>
        <cfvo type="max"/>
        <color rgb="FF63C384"/>
      </dataBar>
    </cfRule>
  </conditionalFormatting>
  <conditionalFormatting sqref="AE48:AE49">
    <cfRule type="dataBar" priority="43">
      <dataBar>
        <cfvo type="min"/>
        <cfvo type="max"/>
        <color rgb="FF63C384"/>
      </dataBar>
    </cfRule>
  </conditionalFormatting>
  <conditionalFormatting sqref="AE50:AE52">
    <cfRule type="dataBar" priority="47">
      <dataBar>
        <cfvo type="min"/>
        <cfvo type="max"/>
        <color rgb="FF63C384"/>
      </dataBar>
    </cfRule>
  </conditionalFormatting>
  <conditionalFormatting sqref="AE53">
    <cfRule type="dataBar" priority="48">
      <dataBar>
        <cfvo type="min"/>
        <cfvo type="max"/>
        <color rgb="FF63C384"/>
      </dataBar>
    </cfRule>
  </conditionalFormatting>
  <conditionalFormatting sqref="AE54">
    <cfRule type="dataBar" priority="44">
      <dataBar>
        <cfvo type="min"/>
        <cfvo type="max"/>
        <color rgb="FF63C384"/>
      </dataBar>
    </cfRule>
  </conditionalFormatting>
  <conditionalFormatting sqref="AE56">
    <cfRule type="dataBar" priority="49">
      <dataBar>
        <cfvo type="min"/>
        <cfvo type="max"/>
        <color rgb="FF63C384"/>
      </dataBar>
    </cfRule>
  </conditionalFormatting>
  <conditionalFormatting sqref="AE62">
    <cfRule type="dataBar" priority="38">
      <dataBar>
        <cfvo type="min"/>
        <cfvo type="max"/>
        <color rgb="FF63C384"/>
      </dataBar>
    </cfRule>
  </conditionalFormatting>
  <conditionalFormatting sqref="AE63:AE65">
    <cfRule type="dataBar" priority="39">
      <dataBar>
        <cfvo type="min"/>
        <cfvo type="max"/>
        <color rgb="FF63C384"/>
      </dataBar>
    </cfRule>
  </conditionalFormatting>
  <conditionalFormatting sqref="AE66:AE67">
    <cfRule type="dataBar" priority="36">
      <dataBar>
        <cfvo type="min"/>
        <cfvo type="max"/>
        <color rgb="FF63C384"/>
      </dataBar>
    </cfRule>
  </conditionalFormatting>
  <conditionalFormatting sqref="AE68:AE70">
    <cfRule type="dataBar" priority="40">
      <dataBar>
        <cfvo type="min"/>
        <cfvo type="max"/>
        <color rgb="FF63C384"/>
      </dataBar>
    </cfRule>
  </conditionalFormatting>
  <conditionalFormatting sqref="AE71">
    <cfRule type="dataBar" priority="41">
      <dataBar>
        <cfvo type="min"/>
        <cfvo type="max"/>
        <color rgb="FF63C384"/>
      </dataBar>
    </cfRule>
  </conditionalFormatting>
  <conditionalFormatting sqref="AE72">
    <cfRule type="dataBar" priority="37">
      <dataBar>
        <cfvo type="min"/>
        <cfvo type="max"/>
        <color rgb="FF63C384"/>
      </dataBar>
    </cfRule>
  </conditionalFormatting>
  <conditionalFormatting sqref="AE74">
    <cfRule type="dataBar" priority="42">
      <dataBar>
        <cfvo type="min"/>
        <cfvo type="max"/>
        <color rgb="FF63C384"/>
      </dataBar>
    </cfRule>
  </conditionalFormatting>
  <conditionalFormatting sqref="AE80">
    <cfRule type="dataBar" priority="31">
      <dataBar>
        <cfvo type="min"/>
        <cfvo type="max"/>
        <color rgb="FF63C384"/>
      </dataBar>
    </cfRule>
  </conditionalFormatting>
  <conditionalFormatting sqref="AE81:AE83">
    <cfRule type="dataBar" priority="32">
      <dataBar>
        <cfvo type="min"/>
        <cfvo type="max"/>
        <color rgb="FF63C384"/>
      </dataBar>
    </cfRule>
  </conditionalFormatting>
  <conditionalFormatting sqref="AE84:AE85">
    <cfRule type="dataBar" priority="29">
      <dataBar>
        <cfvo type="min"/>
        <cfvo type="max"/>
        <color rgb="FF63C384"/>
      </dataBar>
    </cfRule>
  </conditionalFormatting>
  <conditionalFormatting sqref="AE86:AE88">
    <cfRule type="dataBar" priority="33">
      <dataBar>
        <cfvo type="min"/>
        <cfvo type="max"/>
        <color rgb="FF63C384"/>
      </dataBar>
    </cfRule>
  </conditionalFormatting>
  <conditionalFormatting sqref="AE89">
    <cfRule type="dataBar" priority="34">
      <dataBar>
        <cfvo type="min"/>
        <cfvo type="max"/>
        <color rgb="FF63C384"/>
      </dataBar>
    </cfRule>
  </conditionalFormatting>
  <conditionalFormatting sqref="AE90">
    <cfRule type="dataBar" priority="30">
      <dataBar>
        <cfvo type="min"/>
        <cfvo type="max"/>
        <color rgb="FF63C384"/>
      </dataBar>
    </cfRule>
  </conditionalFormatting>
  <conditionalFormatting sqref="AE92">
    <cfRule type="dataBar" priority="35">
      <dataBar>
        <cfvo type="min"/>
        <cfvo type="max"/>
        <color rgb="FF63C384"/>
      </dataBar>
    </cfRule>
  </conditionalFormatting>
  <conditionalFormatting sqref="AE98">
    <cfRule type="dataBar" priority="24">
      <dataBar>
        <cfvo type="min"/>
        <cfvo type="max"/>
        <color rgb="FF63C384"/>
      </dataBar>
    </cfRule>
  </conditionalFormatting>
  <conditionalFormatting sqref="AE99:AE101">
    <cfRule type="dataBar" priority="25">
      <dataBar>
        <cfvo type="min"/>
        <cfvo type="max"/>
        <color rgb="FF63C384"/>
      </dataBar>
    </cfRule>
  </conditionalFormatting>
  <conditionalFormatting sqref="AE102:AE103">
    <cfRule type="dataBar" priority="22">
      <dataBar>
        <cfvo type="min"/>
        <cfvo type="max"/>
        <color rgb="FF63C384"/>
      </dataBar>
    </cfRule>
  </conditionalFormatting>
  <conditionalFormatting sqref="AE104:AE106">
    <cfRule type="dataBar" priority="26">
      <dataBar>
        <cfvo type="min"/>
        <cfvo type="max"/>
        <color rgb="FF63C384"/>
      </dataBar>
    </cfRule>
  </conditionalFormatting>
  <conditionalFormatting sqref="AE107">
    <cfRule type="dataBar" priority="27">
      <dataBar>
        <cfvo type="min"/>
        <cfvo type="max"/>
        <color rgb="FF63C384"/>
      </dataBar>
    </cfRule>
  </conditionalFormatting>
  <conditionalFormatting sqref="AE108">
    <cfRule type="dataBar" priority="23">
      <dataBar>
        <cfvo type="min"/>
        <cfvo type="max"/>
        <color rgb="FF63C384"/>
      </dataBar>
    </cfRule>
  </conditionalFormatting>
  <conditionalFormatting sqref="AE110">
    <cfRule type="dataBar" priority="28">
      <dataBar>
        <cfvo type="min"/>
        <cfvo type="max"/>
        <color rgb="FF63C384"/>
      </dataBar>
    </cfRule>
  </conditionalFormatting>
  <conditionalFormatting sqref="AE116">
    <cfRule type="dataBar" priority="17">
      <dataBar>
        <cfvo type="min"/>
        <cfvo type="max"/>
        <color rgb="FF63C384"/>
      </dataBar>
    </cfRule>
  </conditionalFormatting>
  <conditionalFormatting sqref="AE117:AE119">
    <cfRule type="dataBar" priority="18">
      <dataBar>
        <cfvo type="min"/>
        <cfvo type="max"/>
        <color rgb="FF63C384"/>
      </dataBar>
    </cfRule>
  </conditionalFormatting>
  <conditionalFormatting sqref="AE120:AE121">
    <cfRule type="dataBar" priority="15">
      <dataBar>
        <cfvo type="min"/>
        <cfvo type="max"/>
        <color rgb="FF63C384"/>
      </dataBar>
    </cfRule>
  </conditionalFormatting>
  <conditionalFormatting sqref="AE122:AE124">
    <cfRule type="dataBar" priority="19">
      <dataBar>
        <cfvo type="min"/>
        <cfvo type="max"/>
        <color rgb="FF63C384"/>
      </dataBar>
    </cfRule>
  </conditionalFormatting>
  <conditionalFormatting sqref="AE125">
    <cfRule type="dataBar" priority="20">
      <dataBar>
        <cfvo type="min"/>
        <cfvo type="max"/>
        <color rgb="FF63C384"/>
      </dataBar>
    </cfRule>
  </conditionalFormatting>
  <conditionalFormatting sqref="AE126">
    <cfRule type="dataBar" priority="16">
      <dataBar>
        <cfvo type="min"/>
        <cfvo type="max"/>
        <color rgb="FF63C384"/>
      </dataBar>
    </cfRule>
  </conditionalFormatting>
  <conditionalFormatting sqref="AE128">
    <cfRule type="dataBar" priority="21">
      <dataBar>
        <cfvo type="min"/>
        <cfvo type="max"/>
        <color rgb="FF63C384"/>
      </dataBar>
    </cfRule>
  </conditionalFormatting>
  <conditionalFormatting sqref="AE134">
    <cfRule type="dataBar" priority="10">
      <dataBar>
        <cfvo type="min"/>
        <cfvo type="max"/>
        <color rgb="FF63C384"/>
      </dataBar>
    </cfRule>
  </conditionalFormatting>
  <conditionalFormatting sqref="AE135:AE137">
    <cfRule type="dataBar" priority="11">
      <dataBar>
        <cfvo type="min"/>
        <cfvo type="max"/>
        <color rgb="FF63C384"/>
      </dataBar>
    </cfRule>
  </conditionalFormatting>
  <conditionalFormatting sqref="AE138:AE139">
    <cfRule type="dataBar" priority="8">
      <dataBar>
        <cfvo type="min"/>
        <cfvo type="max"/>
        <color rgb="FF63C384"/>
      </dataBar>
    </cfRule>
  </conditionalFormatting>
  <conditionalFormatting sqref="AE140:AE142">
    <cfRule type="dataBar" priority="12">
      <dataBar>
        <cfvo type="min"/>
        <cfvo type="max"/>
        <color rgb="FF63C384"/>
      </dataBar>
    </cfRule>
  </conditionalFormatting>
  <conditionalFormatting sqref="AE143">
    <cfRule type="dataBar" priority="13">
      <dataBar>
        <cfvo type="min"/>
        <cfvo type="max"/>
        <color rgb="FF63C384"/>
      </dataBar>
    </cfRule>
  </conditionalFormatting>
  <conditionalFormatting sqref="AE144">
    <cfRule type="dataBar" priority="9">
      <dataBar>
        <cfvo type="min"/>
        <cfvo type="max"/>
        <color rgb="FF63C384"/>
      </dataBar>
    </cfRule>
  </conditionalFormatting>
  <conditionalFormatting sqref="AE146">
    <cfRule type="dataBar" priority="14">
      <dataBar>
        <cfvo type="min"/>
        <cfvo type="max"/>
        <color rgb="FF63C384"/>
      </dataBar>
    </cfRule>
  </conditionalFormatting>
  <conditionalFormatting sqref="AE152">
    <cfRule type="dataBar" priority="3">
      <dataBar>
        <cfvo type="min"/>
        <cfvo type="max"/>
        <color rgb="FF63C384"/>
      </dataBar>
    </cfRule>
  </conditionalFormatting>
  <conditionalFormatting sqref="AE153:AE155">
    <cfRule type="dataBar" priority="4">
      <dataBar>
        <cfvo type="min"/>
        <cfvo type="max"/>
        <color rgb="FF63C384"/>
      </dataBar>
    </cfRule>
  </conditionalFormatting>
  <conditionalFormatting sqref="AE156:AE157">
    <cfRule type="dataBar" priority="1">
      <dataBar>
        <cfvo type="min"/>
        <cfvo type="max"/>
        <color rgb="FF63C384"/>
      </dataBar>
    </cfRule>
  </conditionalFormatting>
  <conditionalFormatting sqref="AE158:AE160">
    <cfRule type="dataBar" priority="5">
      <dataBar>
        <cfvo type="min"/>
        <cfvo type="max"/>
        <color rgb="FF63C384"/>
      </dataBar>
    </cfRule>
  </conditionalFormatting>
  <conditionalFormatting sqref="AE161">
    <cfRule type="dataBar" priority="6">
      <dataBar>
        <cfvo type="min"/>
        <cfvo type="max"/>
        <color rgb="FF63C384"/>
      </dataBar>
    </cfRule>
  </conditionalFormatting>
  <conditionalFormatting sqref="AE162">
    <cfRule type="dataBar" priority="2">
      <dataBar>
        <cfvo type="min"/>
        <cfvo type="max"/>
        <color rgb="FF63C384"/>
      </dataBar>
    </cfRule>
  </conditionalFormatting>
  <conditionalFormatting sqref="AE164">
    <cfRule type="dataBar" priority="7">
      <dataBar>
        <cfvo type="min"/>
        <cfvo type="max"/>
        <color rgb="FF63C384"/>
      </dataBar>
    </cfRule>
  </conditionalFormatting>
  <dataValidations count="1">
    <dataValidation type="list" allowBlank="1" showInputMessage="1" showErrorMessage="1" sqref="A20 A38 A56 A74 A92 A110 A128 A146 A164 M20 M38 M56 M74 M92 M110 M128 M146 M164 Y20 Y38 Y56 Y74 Y92 Y110 Y128 Y146 Y164" xr:uid="{00000000-0002-0000-0700-000000000000}">
      <formula1>NitrogenStabilizers</formula1>
    </dataValidation>
  </dataValidations>
  <printOptions horizontalCentered="1"/>
  <pageMargins left="0.7" right="0.7" top="0.75" bottom="0.75" header="0.3" footer="0.3"/>
  <pageSetup scale="23"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7000000}">
          <x14:formula1>
            <xm:f>'Fertilizer Products &amp; Pricing'!$A$75:$A$83</xm:f>
          </x14:formula1>
          <xm:sqref>A16 M16 Y16</xm:sqref>
        </x14:dataValidation>
        <x14:dataValidation type="list" allowBlank="1" showInputMessage="1" showErrorMessage="1" xr:uid="{00000000-0002-0000-0700-000005000000}">
          <x14:formula1>
            <xm:f>'Fertilizer Products &amp; Pricing'!$A$58:$A$71</xm:f>
          </x14:formula1>
          <xm:sqref>A11:A13 A32:A34 A50:A52 A68:A70 A86:A88 A104:A106 A122:A124 A140:A142 A158:A160 M11:M13 M32:M34 M50:M52 M68:M70 M86:M88 M104:M106 M122:M124 M140:M142 M158:M160 Y11:Y13 Y32:Y34 Y50:Y52 Y68:Y70 Y86:Y88 Y104:Y106 Y122:Y124 Y140:Y142 Y158:Y160</xm:sqref>
        </x14:dataValidation>
        <x14:dataValidation type="list" allowBlank="1" showInputMessage="1" showErrorMessage="1" xr:uid="{00000000-0002-0000-0700-000004000000}">
          <x14:formula1>
            <xm:f>'Fertilizer Products &amp; Pricing'!$A$4:$A$54</xm:f>
          </x14:formula1>
          <xm:sqref>A6:A8 A27:A29 A45:A47 A63:A65 A81:A83 A99:A101 A117:A119 A135:A137 A153:A155 M6:M8 M27:M29 M45:M47 M63:M65 M81:M83 M99:M101 M117:M119 M135:M137 M153:M155 Y6:Y8 Y27:Y29 Y45:Y47 Y63:Y65 Y81:Y83 Y99:Y101 Y117:Y119 Y135:Y137 Y153:Y155</xm:sqref>
        </x14:dataValidation>
        <x14:dataValidation type="list" allowBlank="1" showInputMessage="1" showErrorMessage="1" xr:uid="{00000000-0002-0000-0700-000006000000}">
          <x14:formula1>
            <xm:f>'Fertilizer Products &amp; Pricing'!$A$87:$A$96</xm:f>
          </x14:formula1>
          <xm:sqref>A19 M19 Y19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A1:AB44"/>
  <sheetViews>
    <sheetView zoomScale="90" zoomScaleNormal="90" workbookViewId="0">
      <selection activeCell="F26" sqref="F26"/>
    </sheetView>
  </sheetViews>
  <sheetFormatPr defaultColWidth="9.140625" defaultRowHeight="15"/>
  <cols>
    <col min="1" max="1" width="9.140625" style="6"/>
    <col min="2" max="2" width="24.85546875" style="6" bestFit="1" customWidth="1"/>
    <col min="3" max="3" width="15.42578125" style="6" bestFit="1" customWidth="1"/>
    <col min="4" max="4" width="9.140625" style="6"/>
    <col min="5" max="6" width="13.7109375" style="6" bestFit="1" customWidth="1"/>
    <col min="7" max="7" width="13.28515625" style="6" bestFit="1" customWidth="1"/>
    <col min="8" max="8" width="12" style="6" bestFit="1" customWidth="1"/>
    <col min="9" max="9" width="22.28515625" style="6" bestFit="1" customWidth="1"/>
    <col min="10" max="10" width="14" style="6" bestFit="1" customWidth="1"/>
    <col min="11" max="11" width="9.140625" style="6"/>
    <col min="12" max="12" width="27.7109375" style="6" customWidth="1"/>
    <col min="13" max="13" width="12" style="10" bestFit="1" customWidth="1"/>
    <col min="14" max="16" width="11.7109375" style="6" customWidth="1"/>
    <col min="17" max="17" width="12.7109375" style="6" bestFit="1" customWidth="1"/>
    <col min="18" max="18" width="14.28515625" style="6" bestFit="1" customWidth="1"/>
    <col min="19" max="19" width="12.28515625" style="6" bestFit="1" customWidth="1"/>
    <col min="20" max="20" width="10.28515625" style="6" bestFit="1" customWidth="1"/>
    <col min="21" max="21" width="14.28515625" style="6" bestFit="1" customWidth="1"/>
    <col min="22" max="22" width="12.28515625" style="6" bestFit="1" customWidth="1"/>
    <col min="23" max="23" width="8.140625" style="6" customWidth="1"/>
    <col min="24" max="24" width="8" style="6" customWidth="1"/>
    <col min="25" max="28" width="8.85546875" style="6" customWidth="1"/>
    <col min="29" max="16384" width="9.140625" style="6"/>
  </cols>
  <sheetData>
    <row r="1" spans="1:23" ht="15" customHeight="1">
      <c r="A1"/>
      <c r="B1" s="1039" t="s">
        <v>66</v>
      </c>
      <c r="C1" s="1040"/>
      <c r="D1" s="1040"/>
      <c r="E1" s="1040"/>
      <c r="F1" s="1040"/>
      <c r="G1" s="1040"/>
      <c r="H1" s="1040"/>
      <c r="I1" s="1040"/>
      <c r="J1" s="1041"/>
      <c r="K1"/>
      <c r="L1"/>
      <c r="M1" s="60"/>
      <c r="N1"/>
      <c r="O1"/>
      <c r="P1"/>
      <c r="Q1"/>
      <c r="R1"/>
      <c r="S1"/>
      <c r="T1"/>
      <c r="U1"/>
      <c r="V1"/>
      <c r="W1"/>
    </row>
    <row r="2" spans="1:23" ht="15" customHeight="1">
      <c r="A2"/>
      <c r="B2" s="1042"/>
      <c r="C2" s="1043"/>
      <c r="D2" s="1043"/>
      <c r="E2" s="1043"/>
      <c r="F2" s="1043"/>
      <c r="G2" s="1043"/>
      <c r="H2" s="1043"/>
      <c r="I2" s="1043"/>
      <c r="J2" s="1044"/>
      <c r="K2"/>
      <c r="L2"/>
      <c r="M2" s="60"/>
      <c r="N2"/>
      <c r="O2"/>
      <c r="P2"/>
      <c r="Q2"/>
      <c r="R2"/>
      <c r="S2"/>
      <c r="T2"/>
      <c r="U2"/>
      <c r="V2"/>
      <c r="W2"/>
    </row>
    <row r="3" spans="1:23" ht="16.5" thickBot="1">
      <c r="A3"/>
      <c r="B3" s="484"/>
      <c r="C3" s="104"/>
      <c r="D3" s="104"/>
      <c r="E3" s="104"/>
      <c r="F3" s="104"/>
      <c r="G3" s="104"/>
      <c r="H3" s="485"/>
      <c r="I3" s="486" t="s">
        <v>67</v>
      </c>
      <c r="J3" s="487">
        <f>'Crop Budget (Main)'!C10+'Crop Budget (Main)'!G10+'Crop Budget (Main)'!K10</f>
        <v>3</v>
      </c>
      <c r="K3" s="2"/>
      <c r="L3" s="2"/>
      <c r="M3" s="488"/>
      <c r="N3" s="2"/>
      <c r="O3" s="2"/>
      <c r="P3" s="2"/>
      <c r="Q3" s="2"/>
      <c r="R3" s="2"/>
      <c r="S3" s="2"/>
      <c r="T3" s="2"/>
      <c r="U3" s="2"/>
      <c r="V3" s="2"/>
      <c r="W3"/>
    </row>
    <row r="4" spans="1:23" ht="16.5" thickBot="1">
      <c r="A4"/>
      <c r="B4" s="1045" t="s">
        <v>68</v>
      </c>
      <c r="C4" s="1046"/>
      <c r="D4" s="1046"/>
      <c r="E4" s="1046"/>
      <c r="F4" s="1046"/>
      <c r="G4" s="1046"/>
      <c r="H4" s="1046"/>
      <c r="I4" s="1046"/>
      <c r="J4" s="1047"/>
      <c r="K4" s="2"/>
      <c r="L4" s="2"/>
      <c r="M4" s="488"/>
      <c r="N4" s="2"/>
      <c r="O4" s="2"/>
      <c r="P4" s="2"/>
      <c r="Q4" s="2"/>
      <c r="R4" s="2"/>
      <c r="S4" s="2"/>
      <c r="T4" s="2"/>
      <c r="U4" s="2"/>
      <c r="V4" s="2"/>
      <c r="W4"/>
    </row>
    <row r="5" spans="1:23" ht="47.25">
      <c r="A5"/>
      <c r="B5" s="91" t="s">
        <v>69</v>
      </c>
      <c r="C5" s="140" t="s">
        <v>70</v>
      </c>
      <c r="D5" s="140"/>
      <c r="E5" s="489" t="s">
        <v>71</v>
      </c>
      <c r="F5" s="489" t="s">
        <v>72</v>
      </c>
      <c r="G5" s="490" t="s">
        <v>73</v>
      </c>
      <c r="H5" s="490" t="s">
        <v>74</v>
      </c>
      <c r="I5" s="490" t="s">
        <v>75</v>
      </c>
      <c r="J5" s="491" t="s">
        <v>76</v>
      </c>
      <c r="K5" s="2"/>
      <c r="L5" s="2"/>
      <c r="M5" s="488"/>
      <c r="N5" s="2"/>
      <c r="O5" s="2"/>
      <c r="P5" s="2"/>
      <c r="Q5" s="2"/>
      <c r="R5" s="2"/>
      <c r="S5" s="2"/>
      <c r="T5" s="2"/>
      <c r="U5" s="2"/>
      <c r="V5" s="2"/>
      <c r="W5"/>
    </row>
    <row r="6" spans="1:23" ht="18.75">
      <c r="A6"/>
      <c r="B6" s="510" t="s">
        <v>128</v>
      </c>
      <c r="C6" s="511" t="s">
        <v>128</v>
      </c>
      <c r="D6"/>
      <c r="E6" s="511" t="s">
        <v>128</v>
      </c>
      <c r="F6" s="511" t="s">
        <v>128</v>
      </c>
      <c r="G6" s="490"/>
      <c r="H6" s="490"/>
      <c r="I6" s="490"/>
      <c r="J6" s="491"/>
      <c r="K6" s="2"/>
      <c r="L6" s="978" t="s">
        <v>228</v>
      </c>
      <c r="M6" s="979"/>
      <c r="N6" s="979"/>
      <c r="O6" s="979"/>
      <c r="P6" s="979"/>
      <c r="Q6" s="979"/>
      <c r="R6" s="979"/>
      <c r="S6" s="979"/>
      <c r="T6" s="979"/>
      <c r="U6" s="979"/>
      <c r="V6" s="981"/>
      <c r="W6"/>
    </row>
    <row r="7" spans="1:23" ht="15.75">
      <c r="B7" s="492"/>
      <c r="C7" s="493">
        <v>0</v>
      </c>
      <c r="D7" s="494"/>
      <c r="E7" s="355">
        <v>1</v>
      </c>
      <c r="F7" s="495">
        <v>0</v>
      </c>
      <c r="G7" s="206">
        <f>-1*(PMT(F7,E7,C7))</f>
        <v>0</v>
      </c>
      <c r="H7" s="206">
        <f>C7*F7</f>
        <v>0</v>
      </c>
      <c r="I7" s="496">
        <f>H7/$J$3</f>
        <v>0</v>
      </c>
      <c r="J7" s="497">
        <f>G7/$J$3</f>
        <v>0</v>
      </c>
      <c r="K7" s="2"/>
      <c r="L7" s="498"/>
      <c r="M7" s="499"/>
      <c r="N7" s="51"/>
      <c r="O7" s="51"/>
      <c r="P7" s="51"/>
      <c r="Q7" s="1048" t="s">
        <v>654</v>
      </c>
      <c r="R7" s="1049"/>
      <c r="S7" s="1050"/>
      <c r="T7" s="1048" t="s">
        <v>653</v>
      </c>
      <c r="U7" s="1049"/>
      <c r="V7" s="1050"/>
      <c r="W7"/>
    </row>
    <row r="8" spans="1:23" ht="15.75" customHeight="1">
      <c r="B8" s="492"/>
      <c r="C8" s="493">
        <v>0</v>
      </c>
      <c r="D8" s="494"/>
      <c r="E8" s="355">
        <v>1</v>
      </c>
      <c r="F8" s="500">
        <v>0</v>
      </c>
      <c r="G8" s="206">
        <f>-1*(PMT(F8,E8,C8))</f>
        <v>0</v>
      </c>
      <c r="H8" s="206">
        <f>C8*F8</f>
        <v>0</v>
      </c>
      <c r="I8" s="496">
        <f>H8/$J$3</f>
        <v>0</v>
      </c>
      <c r="J8" s="497">
        <f>G8/$J$3</f>
        <v>0</v>
      </c>
      <c r="K8" s="2"/>
      <c r="L8" s="175"/>
      <c r="M8" s="499"/>
      <c r="N8" s="490" t="str">
        <f>'Crop Budget (Main)'!C5</f>
        <v>Select Crop</v>
      </c>
      <c r="O8" s="490" t="str">
        <f>'Crop Budget (Main)'!G5</f>
        <v>Select Crop</v>
      </c>
      <c r="P8" s="710" t="str">
        <f>'Crop Budget (Main)'!K5</f>
        <v>Select Crop</v>
      </c>
      <c r="Q8" s="501" t="str">
        <f>N8</f>
        <v>Select Crop</v>
      </c>
      <c r="R8" s="502" t="str">
        <f>O8</f>
        <v>Select Crop</v>
      </c>
      <c r="S8" s="503" t="str">
        <f>P8</f>
        <v>Select Crop</v>
      </c>
      <c r="T8" s="501" t="str">
        <f>N8</f>
        <v>Select Crop</v>
      </c>
      <c r="U8" s="502" t="str">
        <f>O8</f>
        <v>Select Crop</v>
      </c>
      <c r="V8" s="503" t="str">
        <f>P8</f>
        <v>Select Crop</v>
      </c>
      <c r="W8"/>
    </row>
    <row r="9" spans="1:23" ht="15.75">
      <c r="B9" s="492"/>
      <c r="C9" s="493">
        <v>0</v>
      </c>
      <c r="D9" s="494"/>
      <c r="E9" s="355">
        <v>1</v>
      </c>
      <c r="F9" s="500">
        <v>0</v>
      </c>
      <c r="G9" s="206">
        <f>-1*(PMT(F9,E9,C9))</f>
        <v>0</v>
      </c>
      <c r="H9" s="206">
        <f>C9*F9</f>
        <v>0</v>
      </c>
      <c r="I9" s="496">
        <f>H9/$J$3</f>
        <v>0</v>
      </c>
      <c r="J9" s="497">
        <f>G9/$J$3</f>
        <v>0</v>
      </c>
      <c r="K9" s="2"/>
      <c r="L9" s="291" t="s">
        <v>234</v>
      </c>
      <c r="M9" s="504" t="s">
        <v>295</v>
      </c>
      <c r="N9" s="490" t="s">
        <v>110</v>
      </c>
      <c r="O9" s="490" t="s">
        <v>110</v>
      </c>
      <c r="P9" s="710" t="s">
        <v>110</v>
      </c>
      <c r="Q9" s="175"/>
      <c r="R9" s="2"/>
      <c r="S9" s="180"/>
      <c r="T9" s="175"/>
      <c r="U9" s="2"/>
      <c r="V9" s="180"/>
      <c r="W9"/>
    </row>
    <row r="10" spans="1:23" ht="15.75">
      <c r="B10" s="492"/>
      <c r="C10" s="493">
        <v>0</v>
      </c>
      <c r="D10" s="494"/>
      <c r="E10" s="355">
        <v>1</v>
      </c>
      <c r="F10" s="500">
        <v>0</v>
      </c>
      <c r="G10" s="206">
        <f>-1*(PMT(F10,E10,C10))</f>
        <v>0</v>
      </c>
      <c r="H10" s="206">
        <f>C10*F10</f>
        <v>0</v>
      </c>
      <c r="I10" s="496">
        <f>H10/$J$3</f>
        <v>0</v>
      </c>
      <c r="J10" s="497">
        <f>G10/$J$3</f>
        <v>0</v>
      </c>
      <c r="K10" s="2"/>
      <c r="L10" s="292" t="s">
        <v>230</v>
      </c>
      <c r="M10" s="62">
        <f>H13</f>
        <v>0</v>
      </c>
      <c r="N10" s="93">
        <f>'Crop Budget (Main)'!$C$10</f>
        <v>1</v>
      </c>
      <c r="O10" s="93">
        <f>'Crop Budget (Main)'!$G$10</f>
        <v>1</v>
      </c>
      <c r="P10" s="93">
        <f>'Crop Budget (Main)'!$K$10</f>
        <v>1</v>
      </c>
      <c r="Q10" s="227">
        <f>M10/(N10+O10+P10)*N10</f>
        <v>0</v>
      </c>
      <c r="R10" s="64">
        <f>M10/(N10+O10+P10)*O10</f>
        <v>0</v>
      </c>
      <c r="S10" s="287">
        <f>M10/(N10+O10+P10)*P10</f>
        <v>0</v>
      </c>
      <c r="T10" s="227">
        <f t="shared" ref="T10:V12" si="0">Q10/N10</f>
        <v>0</v>
      </c>
      <c r="U10" s="64">
        <f t="shared" si="0"/>
        <v>0</v>
      </c>
      <c r="V10" s="287">
        <f t="shared" si="0"/>
        <v>0</v>
      </c>
      <c r="W10"/>
    </row>
    <row r="11" spans="1:23" ht="15.75">
      <c r="B11" s="492"/>
      <c r="C11" s="493">
        <v>0</v>
      </c>
      <c r="D11" s="494"/>
      <c r="E11" s="355">
        <v>1</v>
      </c>
      <c r="F11" s="500">
        <v>0</v>
      </c>
      <c r="G11" s="206">
        <f t="shared" ref="G11:G12" si="1">-1*(PMT(F11,E11,C11))</f>
        <v>0</v>
      </c>
      <c r="H11" s="206">
        <f t="shared" ref="H11:H12" si="2">C11*F11</f>
        <v>0</v>
      </c>
      <c r="I11" s="496">
        <f t="shared" ref="I11:I12" si="3">H11/$J$3</f>
        <v>0</v>
      </c>
      <c r="J11" s="497">
        <f t="shared" ref="J11:J12" si="4">G11/$J$3</f>
        <v>0</v>
      </c>
      <c r="K11" s="2"/>
      <c r="L11" s="292" t="s">
        <v>229</v>
      </c>
      <c r="M11" s="62">
        <f>H29</f>
        <v>0</v>
      </c>
      <c r="N11" s="93">
        <f>'Crop Budget (Main)'!$C$10</f>
        <v>1</v>
      </c>
      <c r="O11" s="93">
        <f>'Crop Budget (Main)'!$G$10</f>
        <v>1</v>
      </c>
      <c r="P11" s="93">
        <f>'Crop Budget (Main)'!$K$10</f>
        <v>1</v>
      </c>
      <c r="Q11" s="227">
        <f>M11/(N11+O11+P11)*N11</f>
        <v>0</v>
      </c>
      <c r="R11" s="64">
        <f>M11/(N11+O11+P11)*O11</f>
        <v>0</v>
      </c>
      <c r="S11" s="287">
        <f>M11/(N11+O11+P11)*P11</f>
        <v>0</v>
      </c>
      <c r="T11" s="227">
        <f t="shared" si="0"/>
        <v>0</v>
      </c>
      <c r="U11" s="64">
        <f t="shared" si="0"/>
        <v>0</v>
      </c>
      <c r="V11" s="287">
        <f t="shared" si="0"/>
        <v>0</v>
      </c>
      <c r="W11"/>
    </row>
    <row r="12" spans="1:23" ht="15.75">
      <c r="B12" s="492"/>
      <c r="C12" s="493">
        <v>0</v>
      </c>
      <c r="D12" s="494"/>
      <c r="E12" s="355">
        <v>1</v>
      </c>
      <c r="F12" s="500">
        <v>0</v>
      </c>
      <c r="G12" s="206">
        <f t="shared" si="1"/>
        <v>0</v>
      </c>
      <c r="H12" s="206">
        <f t="shared" si="2"/>
        <v>0</v>
      </c>
      <c r="I12" s="496">
        <f t="shared" si="3"/>
        <v>0</v>
      </c>
      <c r="J12" s="497">
        <f t="shared" si="4"/>
        <v>0</v>
      </c>
      <c r="K12" s="2"/>
      <c r="L12" s="292" t="s">
        <v>232</v>
      </c>
      <c r="M12" s="65">
        <f>H42</f>
        <v>0</v>
      </c>
      <c r="N12" s="93">
        <f>'Crop Budget (Main)'!$C$10</f>
        <v>1</v>
      </c>
      <c r="O12" s="93">
        <f>'Crop Budget (Main)'!$G$10</f>
        <v>1</v>
      </c>
      <c r="P12" s="93">
        <f>'Crop Budget (Main)'!$K$10</f>
        <v>1</v>
      </c>
      <c r="Q12" s="227">
        <f>M12/(N12+O12+P12)*N12</f>
        <v>0</v>
      </c>
      <c r="R12" s="64">
        <f>M12/(N12+O12+P12)*O12</f>
        <v>0</v>
      </c>
      <c r="S12" s="287">
        <f>M12/(N12+O12+P12)*P12</f>
        <v>0</v>
      </c>
      <c r="T12" s="227">
        <f t="shared" si="0"/>
        <v>0</v>
      </c>
      <c r="U12" s="64">
        <f t="shared" si="0"/>
        <v>0</v>
      </c>
      <c r="V12" s="287">
        <f t="shared" si="0"/>
        <v>0</v>
      </c>
      <c r="W12"/>
    </row>
    <row r="13" spans="1:23" ht="15.75">
      <c r="B13" s="91" t="s">
        <v>77</v>
      </c>
      <c r="C13" s="140"/>
      <c r="D13" s="140"/>
      <c r="E13" s="505"/>
      <c r="F13" s="505"/>
      <c r="G13" s="505">
        <f>SUM(G7:G12)</f>
        <v>0</v>
      </c>
      <c r="H13" s="505">
        <f>SUM(H7:H12)</f>
        <v>0</v>
      </c>
      <c r="I13" s="505">
        <f>SUM(I7:I12)</f>
        <v>0</v>
      </c>
      <c r="J13" s="506">
        <f>SUM(J7:J12)</f>
        <v>0</v>
      </c>
      <c r="K13" s="2"/>
      <c r="L13" s="291" t="s">
        <v>227</v>
      </c>
      <c r="M13" s="488"/>
      <c r="N13" s="488"/>
      <c r="O13" s="488"/>
      <c r="P13" s="488"/>
      <c r="Q13" s="175"/>
      <c r="R13" s="2"/>
      <c r="S13" s="180"/>
      <c r="T13" s="175"/>
      <c r="U13" s="2"/>
      <c r="V13" s="180"/>
      <c r="W13"/>
    </row>
    <row r="14" spans="1:23" ht="16.5" thickBot="1">
      <c r="B14" s="18"/>
      <c r="C14" s="2"/>
      <c r="D14" s="2"/>
      <c r="E14" s="2"/>
      <c r="F14" s="2"/>
      <c r="G14" s="2"/>
      <c r="H14" s="2"/>
      <c r="I14" s="2"/>
      <c r="J14" s="49"/>
      <c r="K14" s="2"/>
      <c r="L14" s="292" t="s">
        <v>231</v>
      </c>
      <c r="M14" s="65">
        <f>G29-H29</f>
        <v>0</v>
      </c>
      <c r="N14" s="93">
        <f>'Crop Budget (Main)'!$C$10</f>
        <v>1</v>
      </c>
      <c r="O14" s="93">
        <f>'Crop Budget (Main)'!$G$10</f>
        <v>1</v>
      </c>
      <c r="P14" s="93">
        <f>'Crop Budget (Main)'!$K$10</f>
        <v>1</v>
      </c>
      <c r="Q14" s="227">
        <f>M14/(N14+O14+P14)*N14</f>
        <v>0</v>
      </c>
      <c r="R14" s="64">
        <f>M14/(N14+O14+P14)*O14</f>
        <v>0</v>
      </c>
      <c r="S14" s="287">
        <f>M14/(N14+O14+P14)*P14</f>
        <v>0</v>
      </c>
      <c r="T14" s="227">
        <f t="shared" ref="T14:V15" si="5">Q14/N14</f>
        <v>0</v>
      </c>
      <c r="U14" s="64">
        <f t="shared" si="5"/>
        <v>0</v>
      </c>
      <c r="V14" s="287">
        <f t="shared" si="5"/>
        <v>0</v>
      </c>
      <c r="W14"/>
    </row>
    <row r="15" spans="1:23" ht="16.5" thickBot="1">
      <c r="B15" s="1045" t="s">
        <v>78</v>
      </c>
      <c r="C15" s="1046"/>
      <c r="D15" s="1046"/>
      <c r="E15" s="1046"/>
      <c r="F15" s="1046"/>
      <c r="G15" s="1046"/>
      <c r="H15" s="1046"/>
      <c r="I15" s="1046"/>
      <c r="J15" s="1047"/>
      <c r="K15" s="2"/>
      <c r="L15" s="507" t="s">
        <v>233</v>
      </c>
      <c r="M15" s="293">
        <f>G42-H42</f>
        <v>0</v>
      </c>
      <c r="N15" s="508">
        <f>'Crop Budget (Main)'!$C$10</f>
        <v>1</v>
      </c>
      <c r="O15" s="508">
        <f>'Crop Budget (Main)'!$G$10</f>
        <v>1</v>
      </c>
      <c r="P15" s="508">
        <f>'Crop Budget (Main)'!$K$10</f>
        <v>1</v>
      </c>
      <c r="Q15" s="288">
        <f>M15/(N15+O15+P15)*N15</f>
        <v>0</v>
      </c>
      <c r="R15" s="289">
        <f>M15/(N15+O15+P15)*O15</f>
        <v>0</v>
      </c>
      <c r="S15" s="290">
        <f>M15/(N15+O15+P15)*P15</f>
        <v>0</v>
      </c>
      <c r="T15" s="288">
        <f t="shared" si="5"/>
        <v>0</v>
      </c>
      <c r="U15" s="289">
        <f t="shared" si="5"/>
        <v>0</v>
      </c>
      <c r="V15" s="290">
        <f t="shared" si="5"/>
        <v>0</v>
      </c>
      <c r="W15"/>
    </row>
    <row r="16" spans="1:23" ht="47.25">
      <c r="B16" s="91" t="s">
        <v>69</v>
      </c>
      <c r="C16" s="140" t="s">
        <v>70</v>
      </c>
      <c r="D16" s="140"/>
      <c r="E16" s="489" t="s">
        <v>71</v>
      </c>
      <c r="F16" s="489" t="s">
        <v>72</v>
      </c>
      <c r="G16" s="490" t="s">
        <v>73</v>
      </c>
      <c r="H16" s="490" t="s">
        <v>74</v>
      </c>
      <c r="I16" s="490" t="s">
        <v>75</v>
      </c>
      <c r="J16" s="491" t="s">
        <v>76</v>
      </c>
      <c r="K16" s="2"/>
      <c r="L16" s="2"/>
      <c r="M16" s="488"/>
      <c r="N16" s="2"/>
      <c r="O16" s="2"/>
      <c r="P16" s="2"/>
      <c r="Q16" s="2"/>
      <c r="R16" s="2"/>
      <c r="S16" s="2"/>
      <c r="T16" s="2"/>
      <c r="U16" s="2"/>
      <c r="V16" s="2"/>
      <c r="W16"/>
    </row>
    <row r="17" spans="2:28" ht="15.75">
      <c r="B17" s="510" t="s">
        <v>128</v>
      </c>
      <c r="C17" s="511" t="s">
        <v>128</v>
      </c>
      <c r="D17"/>
      <c r="E17" s="511" t="s">
        <v>128</v>
      </c>
      <c r="F17" s="511" t="s">
        <v>128</v>
      </c>
      <c r="G17" s="490"/>
      <c r="H17" s="490"/>
      <c r="I17" s="490"/>
      <c r="J17" s="491"/>
      <c r="K17" s="2"/>
      <c r="L17" s="2"/>
      <c r="M17" s="488"/>
      <c r="N17" s="2"/>
      <c r="O17" s="2"/>
      <c r="P17" s="2"/>
      <c r="Q17" s="2"/>
      <c r="R17" s="2"/>
      <c r="S17" s="2"/>
      <c r="T17" s="2"/>
      <c r="U17" s="2"/>
      <c r="V17" s="2"/>
      <c r="W17"/>
    </row>
    <row r="18" spans="2:28" ht="15.75">
      <c r="B18" s="492"/>
      <c r="C18" s="493">
        <v>0</v>
      </c>
      <c r="D18" s="494"/>
      <c r="E18" s="355">
        <v>1</v>
      </c>
      <c r="F18" s="500">
        <v>0</v>
      </c>
      <c r="G18" s="206">
        <f t="shared" ref="G18:G28" si="6">-1*(PMT(F18,E18,C18))</f>
        <v>0</v>
      </c>
      <c r="H18" s="206">
        <f t="shared" ref="H18:H28" si="7">C18*F18</f>
        <v>0</v>
      </c>
      <c r="I18" s="496">
        <f t="shared" ref="I18:I28" si="8">H18/$J$3</f>
        <v>0</v>
      </c>
      <c r="J18" s="497">
        <f>G18/$J$3</f>
        <v>0</v>
      </c>
      <c r="K18" s="2"/>
      <c r="L18" s="2"/>
      <c r="M18" s="488"/>
      <c r="N18" s="51"/>
      <c r="O18" s="51"/>
      <c r="P18" s="51"/>
      <c r="Q18" s="51"/>
      <c r="R18" s="51"/>
      <c r="S18" s="51"/>
      <c r="T18" s="2"/>
      <c r="U18" s="2"/>
      <c r="V18" s="2"/>
      <c r="W18"/>
    </row>
    <row r="19" spans="2:28" ht="15.75">
      <c r="B19" s="492"/>
      <c r="C19" s="493">
        <v>0</v>
      </c>
      <c r="D19" s="494"/>
      <c r="E19" s="355">
        <v>1</v>
      </c>
      <c r="F19" s="500">
        <v>0</v>
      </c>
      <c r="G19" s="206">
        <f t="shared" si="6"/>
        <v>0</v>
      </c>
      <c r="H19" s="206">
        <f t="shared" si="7"/>
        <v>0</v>
      </c>
      <c r="I19" s="496">
        <f t="shared" si="8"/>
        <v>0</v>
      </c>
      <c r="J19" s="497">
        <f t="shared" ref="J19:J28" si="9">G19/$J$3</f>
        <v>0</v>
      </c>
      <c r="K19" s="2"/>
      <c r="L19" s="2"/>
      <c r="M19" s="488"/>
      <c r="N19" s="51"/>
      <c r="O19" s="51"/>
      <c r="P19" s="51"/>
      <c r="Q19" s="2"/>
      <c r="R19" s="2"/>
      <c r="S19" s="2"/>
      <c r="T19" s="2"/>
      <c r="U19" s="2"/>
      <c r="V19" s="2"/>
      <c r="W19"/>
    </row>
    <row r="20" spans="2:28" ht="15.75">
      <c r="B20" s="492"/>
      <c r="C20" s="493">
        <v>0</v>
      </c>
      <c r="D20" s="494"/>
      <c r="E20" s="355">
        <v>1</v>
      </c>
      <c r="F20" s="500">
        <v>0</v>
      </c>
      <c r="G20" s="206">
        <f t="shared" si="6"/>
        <v>0</v>
      </c>
      <c r="H20" s="206">
        <f t="shared" si="7"/>
        <v>0</v>
      </c>
      <c r="I20" s="496">
        <f t="shared" si="8"/>
        <v>0</v>
      </c>
      <c r="J20" s="497">
        <f t="shared" si="9"/>
        <v>0</v>
      </c>
      <c r="K20" s="2"/>
      <c r="L20" s="2"/>
      <c r="M20" s="488"/>
      <c r="N20" s="51"/>
      <c r="O20" s="51"/>
      <c r="P20" s="51"/>
      <c r="Q20" s="93"/>
      <c r="R20" s="93"/>
      <c r="S20" s="93"/>
      <c r="T20" s="2"/>
      <c r="U20" s="2"/>
      <c r="V20" s="2"/>
      <c r="W20" s="57"/>
      <c r="X20" s="54"/>
      <c r="Y20" s="54"/>
      <c r="Z20" s="54"/>
      <c r="AA20" s="54"/>
      <c r="AB20" s="54"/>
    </row>
    <row r="21" spans="2:28" ht="15.75">
      <c r="B21" s="492"/>
      <c r="C21" s="493">
        <v>0</v>
      </c>
      <c r="D21" s="494"/>
      <c r="E21" s="355">
        <v>1</v>
      </c>
      <c r="F21" s="500">
        <v>0</v>
      </c>
      <c r="G21" s="206">
        <f t="shared" si="6"/>
        <v>0</v>
      </c>
      <c r="H21" s="206">
        <f t="shared" si="7"/>
        <v>0</v>
      </c>
      <c r="I21" s="496">
        <f t="shared" si="8"/>
        <v>0</v>
      </c>
      <c r="J21" s="497">
        <f t="shared" si="9"/>
        <v>0</v>
      </c>
      <c r="K21" s="2"/>
      <c r="L21" s="2"/>
      <c r="M21" s="488"/>
      <c r="N21" s="51"/>
      <c r="O21" s="51"/>
      <c r="P21" s="51"/>
      <c r="Q21" s="93"/>
      <c r="R21" s="93"/>
      <c r="S21" s="93"/>
      <c r="T21" s="2"/>
      <c r="U21" s="2"/>
      <c r="V21" s="2"/>
      <c r="W21"/>
    </row>
    <row r="22" spans="2:28" ht="15.75">
      <c r="B22" s="492"/>
      <c r="C22" s="493">
        <v>0</v>
      </c>
      <c r="D22" s="494"/>
      <c r="E22" s="355">
        <v>1</v>
      </c>
      <c r="F22" s="500">
        <v>0</v>
      </c>
      <c r="G22" s="206">
        <f t="shared" si="6"/>
        <v>0</v>
      </c>
      <c r="H22" s="206">
        <f t="shared" si="7"/>
        <v>0</v>
      </c>
      <c r="I22" s="496">
        <f t="shared" si="8"/>
        <v>0</v>
      </c>
      <c r="J22" s="497">
        <f t="shared" si="9"/>
        <v>0</v>
      </c>
      <c r="K22" s="2"/>
      <c r="L22" s="2"/>
      <c r="M22" s="488"/>
      <c r="N22" s="51"/>
      <c r="O22" s="51"/>
      <c r="P22" s="51"/>
      <c r="Q22" s="93"/>
      <c r="R22" s="93"/>
      <c r="S22" s="93"/>
      <c r="T22" s="2"/>
      <c r="U22" s="2"/>
      <c r="V22" s="2"/>
      <c r="W22"/>
    </row>
    <row r="23" spans="2:28" ht="15.75">
      <c r="B23" s="492"/>
      <c r="C23" s="493">
        <v>0</v>
      </c>
      <c r="D23" s="494"/>
      <c r="E23" s="355">
        <v>1</v>
      </c>
      <c r="F23" s="500">
        <v>0</v>
      </c>
      <c r="G23" s="206">
        <f t="shared" si="6"/>
        <v>0</v>
      </c>
      <c r="H23" s="206">
        <f t="shared" si="7"/>
        <v>0</v>
      </c>
      <c r="I23" s="496">
        <f t="shared" si="8"/>
        <v>0</v>
      </c>
      <c r="J23" s="497">
        <f t="shared" si="9"/>
        <v>0</v>
      </c>
      <c r="K23" s="2"/>
      <c r="L23" s="2"/>
      <c r="M23" s="488"/>
      <c r="N23" s="51"/>
      <c r="O23" s="51"/>
      <c r="P23" s="51"/>
      <c r="Q23" s="2"/>
      <c r="R23" s="2"/>
      <c r="S23" s="2"/>
      <c r="T23" s="2"/>
      <c r="U23" s="2"/>
      <c r="V23" s="2"/>
      <c r="W23"/>
    </row>
    <row r="24" spans="2:28" ht="15.75">
      <c r="B24" s="492"/>
      <c r="C24" s="493">
        <v>0</v>
      </c>
      <c r="D24" s="494"/>
      <c r="E24" s="355">
        <v>1</v>
      </c>
      <c r="F24" s="500">
        <v>0</v>
      </c>
      <c r="G24" s="206">
        <f t="shared" si="6"/>
        <v>0</v>
      </c>
      <c r="H24" s="206">
        <f t="shared" si="7"/>
        <v>0</v>
      </c>
      <c r="I24" s="496">
        <f t="shared" si="8"/>
        <v>0</v>
      </c>
      <c r="J24" s="497">
        <f t="shared" si="9"/>
        <v>0</v>
      </c>
      <c r="K24" s="2"/>
      <c r="L24" s="2"/>
      <c r="M24" s="488"/>
      <c r="N24" s="51"/>
      <c r="O24" s="51"/>
      <c r="P24" s="51"/>
      <c r="Q24" s="16"/>
      <c r="R24" s="16"/>
      <c r="S24" s="16"/>
      <c r="T24" s="2"/>
      <c r="U24" s="2"/>
      <c r="V24" s="2"/>
      <c r="W24"/>
    </row>
    <row r="25" spans="2:28" ht="15.75">
      <c r="B25" s="492"/>
      <c r="C25" s="493">
        <v>0</v>
      </c>
      <c r="D25" s="494"/>
      <c r="E25" s="355">
        <v>1</v>
      </c>
      <c r="F25" s="500">
        <v>0</v>
      </c>
      <c r="G25" s="206">
        <f t="shared" si="6"/>
        <v>0</v>
      </c>
      <c r="H25" s="206">
        <f t="shared" si="7"/>
        <v>0</v>
      </c>
      <c r="I25" s="496">
        <f t="shared" si="8"/>
        <v>0</v>
      </c>
      <c r="J25" s="497">
        <f t="shared" si="9"/>
        <v>0</v>
      </c>
      <c r="K25" s="2"/>
      <c r="L25" s="2"/>
      <c r="M25" s="488"/>
      <c r="N25" s="51"/>
      <c r="O25" s="51"/>
      <c r="P25" s="51"/>
      <c r="Q25" s="107"/>
      <c r="R25" s="107"/>
      <c r="S25" s="107"/>
      <c r="T25" s="2"/>
      <c r="U25" s="2"/>
      <c r="V25" s="2"/>
      <c r="W25"/>
    </row>
    <row r="26" spans="2:28" ht="15.75">
      <c r="B26" s="492"/>
      <c r="C26" s="493">
        <v>0</v>
      </c>
      <c r="D26" s="494"/>
      <c r="E26" s="355">
        <v>1</v>
      </c>
      <c r="F26" s="500">
        <v>0</v>
      </c>
      <c r="G26" s="206">
        <f t="shared" si="6"/>
        <v>0</v>
      </c>
      <c r="H26" s="206">
        <f t="shared" si="7"/>
        <v>0</v>
      </c>
      <c r="I26" s="496">
        <f t="shared" si="8"/>
        <v>0</v>
      </c>
      <c r="J26" s="497">
        <f t="shared" si="9"/>
        <v>0</v>
      </c>
      <c r="K26" s="2"/>
      <c r="L26" s="2"/>
      <c r="M26" s="488"/>
      <c r="N26" s="2"/>
      <c r="O26" s="2"/>
      <c r="P26" s="2"/>
      <c r="Q26" s="509"/>
      <c r="R26" s="509"/>
      <c r="S26" s="509"/>
      <c r="T26" s="2"/>
      <c r="U26" s="2"/>
      <c r="V26" s="2"/>
      <c r="W26"/>
    </row>
    <row r="27" spans="2:28" ht="15.75">
      <c r="B27" s="492"/>
      <c r="C27" s="493">
        <v>0</v>
      </c>
      <c r="D27" s="494"/>
      <c r="E27" s="355">
        <v>1</v>
      </c>
      <c r="F27" s="500">
        <v>0</v>
      </c>
      <c r="G27" s="206">
        <f t="shared" si="6"/>
        <v>0</v>
      </c>
      <c r="H27" s="206">
        <f t="shared" si="7"/>
        <v>0</v>
      </c>
      <c r="I27" s="496">
        <f t="shared" si="8"/>
        <v>0</v>
      </c>
      <c r="J27" s="497">
        <f t="shared" si="9"/>
        <v>0</v>
      </c>
      <c r="K27" s="2"/>
      <c r="L27" s="2"/>
      <c r="M27" s="488"/>
      <c r="N27" s="2"/>
      <c r="O27" s="2"/>
      <c r="P27" s="2"/>
      <c r="Q27" s="51"/>
      <c r="R27" s="51"/>
      <c r="S27" s="51"/>
      <c r="T27" s="2"/>
      <c r="U27" s="2"/>
      <c r="V27" s="2"/>
      <c r="W27"/>
    </row>
    <row r="28" spans="2:28" ht="15.75">
      <c r="B28" s="492"/>
      <c r="C28" s="493">
        <v>0</v>
      </c>
      <c r="D28" s="494"/>
      <c r="E28" s="355">
        <v>1</v>
      </c>
      <c r="F28" s="500">
        <v>0</v>
      </c>
      <c r="G28" s="206">
        <f t="shared" si="6"/>
        <v>0</v>
      </c>
      <c r="H28" s="206">
        <f t="shared" si="7"/>
        <v>0</v>
      </c>
      <c r="I28" s="496">
        <f t="shared" si="8"/>
        <v>0</v>
      </c>
      <c r="J28" s="497">
        <f t="shared" si="9"/>
        <v>0</v>
      </c>
      <c r="K28" s="2"/>
      <c r="L28" s="2"/>
      <c r="M28" s="488"/>
      <c r="N28" s="2"/>
      <c r="O28" s="2"/>
      <c r="P28" s="2"/>
      <c r="Q28" s="51"/>
      <c r="R28" s="51"/>
      <c r="S28" s="51"/>
      <c r="T28" s="2"/>
      <c r="U28" s="2"/>
      <c r="V28" s="2"/>
      <c r="W28"/>
    </row>
    <row r="29" spans="2:28" ht="15.75">
      <c r="B29" s="91" t="s">
        <v>77</v>
      </c>
      <c r="C29" s="140"/>
      <c r="D29" s="140"/>
      <c r="E29" s="505"/>
      <c r="F29" s="505"/>
      <c r="G29" s="505">
        <f>SUM(G18:G28)</f>
        <v>0</v>
      </c>
      <c r="H29" s="505">
        <f>SUM(H18:H28)</f>
        <v>0</v>
      </c>
      <c r="I29" s="505">
        <f>SUM(I18:I28)</f>
        <v>0</v>
      </c>
      <c r="J29" s="506">
        <f>SUM(J18:J28)</f>
        <v>0</v>
      </c>
      <c r="K29" s="2"/>
      <c r="L29" s="2"/>
      <c r="M29" s="488"/>
      <c r="N29" s="2"/>
      <c r="O29" s="2"/>
      <c r="P29" s="2"/>
      <c r="Q29" s="51"/>
      <c r="R29" s="51"/>
      <c r="S29" s="51"/>
      <c r="T29" s="2"/>
      <c r="U29" s="2"/>
      <c r="V29" s="2"/>
      <c r="W29"/>
    </row>
    <row r="30" spans="2:28" ht="16.5" thickBot="1">
      <c r="B30" s="18"/>
      <c r="C30" s="2"/>
      <c r="D30" s="2"/>
      <c r="E30" s="490"/>
      <c r="F30" s="490"/>
      <c r="G30" s="490"/>
      <c r="H30" s="490"/>
      <c r="I30" s="490"/>
      <c r="J30" s="491"/>
      <c r="K30" s="2"/>
      <c r="L30" s="2"/>
      <c r="M30" s="488"/>
      <c r="N30" s="2"/>
      <c r="O30" s="2"/>
      <c r="P30" s="2"/>
      <c r="Q30" s="51"/>
      <c r="R30" s="51"/>
      <c r="S30" s="51"/>
      <c r="T30" s="2"/>
      <c r="U30" s="2"/>
      <c r="V30" s="2"/>
      <c r="W30"/>
    </row>
    <row r="31" spans="2:28" ht="16.5" thickBot="1">
      <c r="B31" s="1045" t="s">
        <v>115</v>
      </c>
      <c r="C31" s="1046"/>
      <c r="D31" s="1046"/>
      <c r="E31" s="1046"/>
      <c r="F31" s="1046"/>
      <c r="G31" s="1046"/>
      <c r="H31" s="1046"/>
      <c r="I31" s="1046"/>
      <c r="J31" s="1047"/>
      <c r="K31" s="2"/>
      <c r="L31" s="2"/>
      <c r="M31" s="488"/>
      <c r="N31" s="2"/>
      <c r="O31" s="2"/>
      <c r="P31" s="2"/>
      <c r="Q31" s="2"/>
      <c r="R31" s="2"/>
      <c r="S31" s="2"/>
      <c r="T31" s="2"/>
      <c r="U31" s="2"/>
      <c r="V31" s="2"/>
      <c r="W31"/>
    </row>
    <row r="32" spans="2:28" ht="47.25">
      <c r="B32" s="91" t="s">
        <v>69</v>
      </c>
      <c r="C32" s="140" t="s">
        <v>70</v>
      </c>
      <c r="D32" s="140"/>
      <c r="E32" s="489" t="s">
        <v>71</v>
      </c>
      <c r="F32" s="489" t="s">
        <v>72</v>
      </c>
      <c r="G32" s="490" t="s">
        <v>73</v>
      </c>
      <c r="H32" s="490" t="s">
        <v>74</v>
      </c>
      <c r="I32" s="490" t="s">
        <v>75</v>
      </c>
      <c r="J32" s="491" t="s">
        <v>76</v>
      </c>
      <c r="K32" s="2"/>
      <c r="L32" s="2"/>
      <c r="M32" s="488"/>
      <c r="N32" s="2"/>
      <c r="O32" s="2"/>
      <c r="P32" s="2"/>
      <c r="Q32" s="2"/>
      <c r="R32" s="2"/>
      <c r="S32" s="2"/>
      <c r="T32" s="2"/>
      <c r="U32" s="2"/>
      <c r="V32" s="2"/>
      <c r="W32"/>
    </row>
    <row r="33" spans="2:23" ht="15.75">
      <c r="B33" s="510" t="s">
        <v>128</v>
      </c>
      <c r="C33" s="511" t="s">
        <v>128</v>
      </c>
      <c r="D33"/>
      <c r="E33" s="511" t="s">
        <v>128</v>
      </c>
      <c r="F33" s="511" t="s">
        <v>128</v>
      </c>
      <c r="G33" s="490"/>
      <c r="H33" s="490"/>
      <c r="I33" s="490"/>
      <c r="J33" s="491"/>
      <c r="K33" s="2"/>
      <c r="L33" s="2"/>
      <c r="M33" s="488"/>
      <c r="N33" s="2"/>
      <c r="O33" s="2"/>
      <c r="P33" s="2"/>
      <c r="Q33" s="2"/>
      <c r="R33" s="2"/>
      <c r="S33" s="2"/>
      <c r="T33" s="2"/>
      <c r="U33" s="2"/>
      <c r="V33" s="2"/>
      <c r="W33"/>
    </row>
    <row r="34" spans="2:23" ht="15.75">
      <c r="B34" s="492"/>
      <c r="C34" s="493">
        <v>0</v>
      </c>
      <c r="D34" s="494"/>
      <c r="E34" s="355">
        <v>1</v>
      </c>
      <c r="F34" s="500">
        <v>0</v>
      </c>
      <c r="G34" s="206">
        <f>-1*(PMT(F34,E34,C34))</f>
        <v>0</v>
      </c>
      <c r="H34" s="206">
        <f>C34*F34</f>
        <v>0</v>
      </c>
      <c r="I34" s="496">
        <f t="shared" ref="I34:I39" si="10">H34/$J$3</f>
        <v>0</v>
      </c>
      <c r="J34" s="497">
        <f t="shared" ref="J34:J39" si="11">G34/$J$3</f>
        <v>0</v>
      </c>
      <c r="K34" s="2"/>
      <c r="L34" s="2"/>
      <c r="M34" s="488"/>
      <c r="N34" s="2"/>
      <c r="O34" s="2"/>
      <c r="P34" s="2"/>
      <c r="Q34" s="2"/>
      <c r="R34" s="2"/>
      <c r="S34" s="2"/>
      <c r="T34" s="2"/>
      <c r="U34" s="2"/>
      <c r="V34" s="2"/>
      <c r="W34"/>
    </row>
    <row r="35" spans="2:23" ht="15.75">
      <c r="B35" s="492"/>
      <c r="C35" s="493">
        <v>0</v>
      </c>
      <c r="D35" s="494"/>
      <c r="E35" s="355">
        <v>1</v>
      </c>
      <c r="F35" s="500">
        <v>0</v>
      </c>
      <c r="G35" s="206">
        <f t="shared" ref="G35:G39" si="12">-1*(PMT(F35,E35,C35))</f>
        <v>0</v>
      </c>
      <c r="H35" s="206">
        <f t="shared" ref="H35:H39" si="13">C35*F35</f>
        <v>0</v>
      </c>
      <c r="I35" s="496">
        <f t="shared" si="10"/>
        <v>0</v>
      </c>
      <c r="J35" s="497">
        <f t="shared" si="11"/>
        <v>0</v>
      </c>
      <c r="K35" s="2"/>
      <c r="L35" s="2"/>
      <c r="M35" s="488"/>
      <c r="N35" s="2"/>
      <c r="O35" s="2"/>
      <c r="P35" s="2"/>
      <c r="Q35" s="2"/>
      <c r="R35" s="2"/>
      <c r="S35" s="2"/>
      <c r="T35" s="2"/>
      <c r="U35" s="2"/>
      <c r="V35" s="2"/>
      <c r="W35"/>
    </row>
    <row r="36" spans="2:23" ht="15.75">
      <c r="B36" s="492"/>
      <c r="C36" s="493">
        <v>0</v>
      </c>
      <c r="D36" s="494"/>
      <c r="E36" s="355">
        <v>1</v>
      </c>
      <c r="F36" s="500">
        <v>0</v>
      </c>
      <c r="G36" s="206">
        <f t="shared" si="12"/>
        <v>0</v>
      </c>
      <c r="H36" s="206">
        <f t="shared" si="13"/>
        <v>0</v>
      </c>
      <c r="I36" s="496">
        <f t="shared" si="10"/>
        <v>0</v>
      </c>
      <c r="J36" s="497">
        <f t="shared" si="11"/>
        <v>0</v>
      </c>
      <c r="K36" s="2"/>
      <c r="L36" s="2"/>
      <c r="M36" s="488"/>
      <c r="N36" s="2"/>
      <c r="O36" s="2"/>
      <c r="P36" s="2"/>
      <c r="Q36" s="2"/>
      <c r="R36" s="2"/>
      <c r="S36" s="2"/>
      <c r="T36" s="2"/>
      <c r="U36" s="2"/>
      <c r="V36" s="2"/>
      <c r="W36"/>
    </row>
    <row r="37" spans="2:23" ht="15.75">
      <c r="B37" s="492"/>
      <c r="C37" s="493">
        <v>0</v>
      </c>
      <c r="D37" s="494"/>
      <c r="E37" s="355">
        <v>1</v>
      </c>
      <c r="F37" s="500">
        <v>0</v>
      </c>
      <c r="G37" s="206">
        <f t="shared" si="12"/>
        <v>0</v>
      </c>
      <c r="H37" s="206">
        <f t="shared" si="13"/>
        <v>0</v>
      </c>
      <c r="I37" s="496">
        <f t="shared" si="10"/>
        <v>0</v>
      </c>
      <c r="J37" s="497">
        <f t="shared" si="11"/>
        <v>0</v>
      </c>
      <c r="K37" s="2"/>
      <c r="L37" s="2"/>
      <c r="M37" s="488"/>
      <c r="N37" s="2"/>
      <c r="O37" s="2"/>
      <c r="P37" s="2"/>
      <c r="Q37" s="2"/>
      <c r="R37" s="2"/>
      <c r="S37" s="2"/>
      <c r="T37" s="2"/>
      <c r="U37" s="2"/>
      <c r="V37" s="2"/>
      <c r="W37"/>
    </row>
    <row r="38" spans="2:23" ht="15.75">
      <c r="B38" s="492"/>
      <c r="C38" s="493">
        <v>0</v>
      </c>
      <c r="D38" s="494"/>
      <c r="E38" s="355">
        <v>1</v>
      </c>
      <c r="F38" s="500">
        <v>0</v>
      </c>
      <c r="G38" s="206">
        <f t="shared" si="12"/>
        <v>0</v>
      </c>
      <c r="H38" s="206">
        <f t="shared" si="13"/>
        <v>0</v>
      </c>
      <c r="I38" s="496">
        <f t="shared" si="10"/>
        <v>0</v>
      </c>
      <c r="J38" s="497">
        <f t="shared" si="11"/>
        <v>0</v>
      </c>
      <c r="K38" s="2"/>
      <c r="L38" s="2"/>
      <c r="M38" s="488"/>
      <c r="N38" s="2"/>
      <c r="O38" s="2"/>
      <c r="P38" s="2"/>
      <c r="Q38" s="2"/>
      <c r="R38" s="2"/>
      <c r="S38" s="2"/>
      <c r="T38" s="2"/>
      <c r="U38" s="2"/>
      <c r="V38" s="2"/>
      <c r="W38"/>
    </row>
    <row r="39" spans="2:23" ht="15.75">
      <c r="B39" s="492"/>
      <c r="C39" s="493">
        <v>0</v>
      </c>
      <c r="D39" s="494"/>
      <c r="E39" s="355">
        <v>1</v>
      </c>
      <c r="F39" s="500">
        <v>0</v>
      </c>
      <c r="G39" s="206">
        <f t="shared" si="12"/>
        <v>0</v>
      </c>
      <c r="H39" s="206">
        <f t="shared" si="13"/>
        <v>0</v>
      </c>
      <c r="I39" s="496">
        <f t="shared" si="10"/>
        <v>0</v>
      </c>
      <c r="J39" s="497">
        <f t="shared" si="11"/>
        <v>0</v>
      </c>
      <c r="K39" s="2"/>
      <c r="L39" s="2"/>
      <c r="M39" s="488"/>
      <c r="N39" s="2"/>
      <c r="O39" s="2"/>
      <c r="P39" s="2"/>
      <c r="Q39" s="2"/>
      <c r="R39" s="2"/>
      <c r="S39" s="2"/>
      <c r="T39" s="2"/>
      <c r="U39" s="2"/>
      <c r="V39" s="2"/>
      <c r="W39"/>
    </row>
    <row r="40" spans="2:23" ht="15.75">
      <c r="B40" s="492"/>
      <c r="C40" s="493">
        <v>0</v>
      </c>
      <c r="D40" s="494"/>
      <c r="E40" s="355">
        <v>1</v>
      </c>
      <c r="F40" s="500">
        <v>0</v>
      </c>
      <c r="G40" s="206">
        <f t="shared" ref="G40:G41" si="14">-1*(PMT(F40,E40,C40))</f>
        <v>0</v>
      </c>
      <c r="H40" s="206">
        <f t="shared" ref="H40:H41" si="15">C40*F40</f>
        <v>0</v>
      </c>
      <c r="I40" s="496">
        <f t="shared" ref="I40:I41" si="16">H40/$J$3</f>
        <v>0</v>
      </c>
      <c r="J40" s="497">
        <f t="shared" ref="J40:J41" si="17">G40/$J$3</f>
        <v>0</v>
      </c>
      <c r="K40" s="2"/>
      <c r="L40" s="2"/>
      <c r="M40" s="488"/>
      <c r="N40" s="2"/>
      <c r="O40" s="2"/>
      <c r="P40" s="2"/>
      <c r="Q40" s="2"/>
      <c r="R40" s="2"/>
      <c r="S40" s="2"/>
      <c r="T40" s="2"/>
      <c r="U40" s="2"/>
      <c r="V40" s="2"/>
      <c r="W40"/>
    </row>
    <row r="41" spans="2:23" ht="15.75">
      <c r="B41" s="492"/>
      <c r="C41" s="493">
        <v>0</v>
      </c>
      <c r="D41" s="494"/>
      <c r="E41" s="355">
        <v>1</v>
      </c>
      <c r="F41" s="500">
        <v>0</v>
      </c>
      <c r="G41" s="206">
        <f t="shared" si="14"/>
        <v>0</v>
      </c>
      <c r="H41" s="206">
        <f t="shared" si="15"/>
        <v>0</v>
      </c>
      <c r="I41" s="496">
        <f t="shared" si="16"/>
        <v>0</v>
      </c>
      <c r="J41" s="497">
        <f t="shared" si="17"/>
        <v>0</v>
      </c>
      <c r="K41" s="2"/>
      <c r="L41" s="2"/>
      <c r="M41" s="488"/>
      <c r="N41" s="2"/>
      <c r="O41" s="2"/>
      <c r="P41" s="2"/>
      <c r="Q41" s="2"/>
      <c r="R41" s="2"/>
      <c r="S41" s="2"/>
      <c r="T41" s="2"/>
      <c r="U41" s="2"/>
      <c r="V41" s="2"/>
      <c r="W41"/>
    </row>
    <row r="42" spans="2:23" ht="15.75">
      <c r="B42" s="91" t="s">
        <v>77</v>
      </c>
      <c r="C42" s="140"/>
      <c r="D42" s="140"/>
      <c r="E42" s="505"/>
      <c r="F42" s="505"/>
      <c r="G42" s="505">
        <f>SUM(G34:G41)</f>
        <v>0</v>
      </c>
      <c r="H42" s="505">
        <f>SUM(H34:H41)</f>
        <v>0</v>
      </c>
      <c r="I42" s="505">
        <f>SUM(I34:I41)</f>
        <v>0</v>
      </c>
      <c r="J42" s="506">
        <f>SUM(J34:J41)</f>
        <v>0</v>
      </c>
      <c r="K42" s="2"/>
      <c r="L42" s="2"/>
      <c r="M42" s="488"/>
      <c r="N42" s="2"/>
      <c r="O42" s="2"/>
      <c r="P42" s="2"/>
      <c r="Q42" s="2"/>
      <c r="R42" s="2"/>
      <c r="S42" s="2"/>
      <c r="T42" s="2"/>
      <c r="U42" s="2"/>
      <c r="V42" s="2"/>
      <c r="W42"/>
    </row>
    <row r="43" spans="2:23">
      <c r="B43" s="56"/>
      <c r="C43"/>
      <c r="D43"/>
      <c r="E43"/>
      <c r="F43"/>
      <c r="G43"/>
      <c r="H43"/>
      <c r="I43"/>
      <c r="J43" s="7"/>
      <c r="K43"/>
      <c r="L43"/>
      <c r="M43" s="60"/>
      <c r="N43"/>
      <c r="O43"/>
      <c r="P43"/>
      <c r="Q43"/>
      <c r="R43"/>
      <c r="S43"/>
      <c r="T43"/>
      <c r="U43"/>
      <c r="V43"/>
      <c r="W43"/>
    </row>
    <row r="44" spans="2:23" ht="15.75" thickBot="1">
      <c r="B44" s="59"/>
      <c r="C44" s="58"/>
      <c r="D44" s="58"/>
      <c r="E44" s="58"/>
      <c r="F44" s="58"/>
      <c r="G44" s="58"/>
      <c r="H44" s="58"/>
      <c r="I44" s="58"/>
      <c r="J44" s="26"/>
      <c r="K44"/>
      <c r="L44"/>
      <c r="M44" s="60"/>
      <c r="N44"/>
      <c r="O44"/>
      <c r="P44"/>
      <c r="Q44"/>
      <c r="R44"/>
      <c r="S44"/>
      <c r="T44"/>
      <c r="U44"/>
      <c r="V44"/>
      <c r="W44"/>
    </row>
  </sheetData>
  <sheetProtection algorithmName="SHA-512" hashValue="51VghxrF0UN10f6Uk3AHrVA5UtZ6fkTH6rbAhpQJKoFYrgJnx+BMMfsbUoDQgYzzzJmnCKYTLUIFhbt1391XDw==" saltValue="PYqXnWYEz/GVwuh9Gg8Xgw==" spinCount="100000" sheet="1" objects="1" scenarios="1"/>
  <mergeCells count="7">
    <mergeCell ref="B1:J2"/>
    <mergeCell ref="B4:J4"/>
    <mergeCell ref="B15:J15"/>
    <mergeCell ref="B31:J31"/>
    <mergeCell ref="L6:V6"/>
    <mergeCell ref="Q7:S7"/>
    <mergeCell ref="T7:V7"/>
  </mergeCells>
  <conditionalFormatting sqref="Q14:S15 Q10:S12">
    <cfRule type="dataBar" priority="432">
      <dataBar>
        <cfvo type="min"/>
        <cfvo type="max"/>
        <color rgb="FF63C384"/>
      </dataBar>
    </cfRule>
  </conditionalFormatting>
  <conditionalFormatting sqref="T14:V15 T10:V12">
    <cfRule type="dataBar" priority="435">
      <dataBar>
        <cfvo type="min"/>
        <cfvo type="max"/>
        <color rgb="FF63C384"/>
      </dataBar>
    </cfRule>
  </conditionalFormatting>
  <printOptions horizontalCentered="1"/>
  <pageMargins left="0.7" right="0.7" top="0.75" bottom="0.75" header="0.3" footer="0.3"/>
  <pageSetup scale="60" orientation="portrait" r:id="rId1"/>
  <colBreaks count="1" manualBreakCount="1">
    <brk id="10" max="4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3:M53"/>
  <sheetViews>
    <sheetView zoomScale="90" zoomScaleNormal="90" workbookViewId="0">
      <selection activeCell="B47" sqref="B47:C47"/>
    </sheetView>
  </sheetViews>
  <sheetFormatPr defaultColWidth="8.85546875" defaultRowHeight="15"/>
  <cols>
    <col min="1" max="1" width="46.28515625" bestFit="1" customWidth="1"/>
    <col min="2" max="2" width="23.28515625" bestFit="1" customWidth="1"/>
    <col min="3" max="3" width="20" style="4" customWidth="1"/>
    <col min="4" max="4" width="18.7109375" style="4" customWidth="1"/>
    <col min="5" max="5" width="17.28515625" style="4" customWidth="1"/>
    <col min="6" max="6" width="19.140625" style="4" customWidth="1"/>
    <col min="7" max="8" width="19.140625" customWidth="1"/>
    <col min="9" max="10" width="17.28515625" customWidth="1"/>
    <col min="11" max="12" width="17.28515625" hidden="1" customWidth="1"/>
    <col min="13" max="13" width="8.7109375" hidden="1" customWidth="1"/>
  </cols>
  <sheetData>
    <row r="3" spans="1:13" ht="18.75">
      <c r="A3" s="1053" t="s">
        <v>288</v>
      </c>
      <c r="B3" s="1053"/>
      <c r="C3" s="1053"/>
      <c r="D3" s="1053"/>
      <c r="E3" s="1053"/>
      <c r="F3" s="1053"/>
      <c r="G3" s="1053"/>
      <c r="H3" s="1053"/>
      <c r="I3" s="135"/>
    </row>
    <row r="4" spans="1:13" ht="18.75">
      <c r="A4" s="519"/>
      <c r="B4" s="137" t="s">
        <v>128</v>
      </c>
      <c r="C4" s="137" t="s">
        <v>128</v>
      </c>
      <c r="D4" s="137" t="s">
        <v>128</v>
      </c>
      <c r="E4" s="137" t="s">
        <v>128</v>
      </c>
      <c r="F4" s="2"/>
      <c r="G4" s="48" t="s">
        <v>336</v>
      </c>
      <c r="H4" s="2"/>
      <c r="I4" s="135"/>
    </row>
    <row r="5" spans="1:13" ht="15.75">
      <c r="A5" s="2"/>
      <c r="B5" s="48" t="s">
        <v>292</v>
      </c>
      <c r="C5" s="48" t="s">
        <v>291</v>
      </c>
      <c r="D5" s="48" t="s">
        <v>263</v>
      </c>
      <c r="E5" s="48" t="s">
        <v>264</v>
      </c>
      <c r="F5" s="48"/>
      <c r="G5" s="512" t="s">
        <v>337</v>
      </c>
      <c r="H5" s="2"/>
    </row>
    <row r="6" spans="1:13" ht="15.75">
      <c r="A6" s="2" t="s">
        <v>260</v>
      </c>
      <c r="B6" s="513">
        <v>0</v>
      </c>
      <c r="C6" s="514">
        <v>0</v>
      </c>
      <c r="D6" s="514">
        <v>0</v>
      </c>
      <c r="E6" s="514">
        <v>0</v>
      </c>
      <c r="F6" s="48"/>
      <c r="G6" s="515">
        <f>(C6-E6+D6)*B6</f>
        <v>0</v>
      </c>
      <c r="H6" s="2"/>
    </row>
    <row r="7" spans="1:13" ht="15.75">
      <c r="A7" s="2" t="s">
        <v>261</v>
      </c>
      <c r="B7" s="513">
        <v>0</v>
      </c>
      <c r="C7" s="514">
        <v>0</v>
      </c>
      <c r="D7" s="514">
        <v>0</v>
      </c>
      <c r="E7" s="514">
        <v>0</v>
      </c>
      <c r="F7" s="48"/>
      <c r="G7" s="515">
        <f>(C7-E7+D7)*B7</f>
        <v>0</v>
      </c>
      <c r="H7" s="2"/>
    </row>
    <row r="8" spans="1:13" ht="15.75">
      <c r="A8" s="516" t="s">
        <v>262</v>
      </c>
      <c r="B8" s="513">
        <v>0</v>
      </c>
      <c r="C8" s="514">
        <v>0</v>
      </c>
      <c r="D8" s="514">
        <v>0</v>
      </c>
      <c r="E8" s="514">
        <v>0</v>
      </c>
      <c r="F8" s="517"/>
      <c r="G8" s="518">
        <f>(C8-E8+D8)*B8</f>
        <v>0</v>
      </c>
      <c r="H8" s="2"/>
    </row>
    <row r="9" spans="1:13" ht="15.75">
      <c r="A9" s="2" t="s">
        <v>259</v>
      </c>
      <c r="B9" s="2"/>
      <c r="C9" s="512"/>
      <c r="D9" s="512"/>
      <c r="E9" s="512"/>
      <c r="F9" s="48"/>
      <c r="G9" s="116">
        <f>SUM(G6:G8)</f>
        <v>0</v>
      </c>
      <c r="H9" s="2"/>
      <c r="I9" s="308" t="s">
        <v>255</v>
      </c>
    </row>
    <row r="10" spans="1:13" ht="15.75">
      <c r="A10" s="2"/>
      <c r="B10" s="2"/>
      <c r="C10" s="1057" t="s">
        <v>65</v>
      </c>
      <c r="D10" s="1058"/>
      <c r="E10" s="1059"/>
      <c r="F10" s="1057" t="s">
        <v>294</v>
      </c>
      <c r="G10" s="1058"/>
      <c r="H10" s="1059"/>
      <c r="I10" s="308" t="s">
        <v>256</v>
      </c>
    </row>
    <row r="11" spans="1:13" ht="15.75">
      <c r="A11" s="2"/>
      <c r="B11" s="137" t="s">
        <v>128</v>
      </c>
      <c r="C11" s="501" t="str">
        <f>B19</f>
        <v>Select Crop</v>
      </c>
      <c r="D11" s="502" t="str">
        <f>C19</f>
        <v>Select Crop</v>
      </c>
      <c r="E11" s="503" t="str">
        <f>D19</f>
        <v>Select Crop</v>
      </c>
      <c r="F11" s="501" t="str">
        <f>B19</f>
        <v>Select Crop</v>
      </c>
      <c r="G11" s="502" t="str">
        <f>C19</f>
        <v>Select Crop</v>
      </c>
      <c r="H11" s="503" t="str">
        <f>D19</f>
        <v>Select Crop</v>
      </c>
      <c r="I11" s="953" t="s">
        <v>254</v>
      </c>
      <c r="K11" s="4" t="s">
        <v>64</v>
      </c>
      <c r="L11" s="4" t="s">
        <v>116</v>
      </c>
      <c r="M11" s="4" t="s">
        <v>117</v>
      </c>
    </row>
    <row r="12" spans="1:13" ht="15.75">
      <c r="A12" s="136" t="s">
        <v>265</v>
      </c>
      <c r="B12" s="716">
        <v>0</v>
      </c>
      <c r="C12" s="227">
        <f t="shared" ref="C12:E14" si="0">F12/K12</f>
        <v>0</v>
      </c>
      <c r="D12" s="64">
        <f t="shared" si="0"/>
        <v>0</v>
      </c>
      <c r="E12" s="287">
        <f t="shared" si="0"/>
        <v>0</v>
      </c>
      <c r="F12" s="227">
        <f>B12/(K12+L12+M12)*K12</f>
        <v>0</v>
      </c>
      <c r="G12" s="64">
        <f>B12/(K12+L12+M12)*L12</f>
        <v>0</v>
      </c>
      <c r="H12" s="287">
        <f>B12/(K12+L12+M12)*M12</f>
        <v>0</v>
      </c>
      <c r="I12" s="953"/>
      <c r="K12" s="63">
        <f>'Crop Budget (Main)'!$C$10</f>
        <v>1</v>
      </c>
      <c r="L12" s="63">
        <f>'Crop Budget (Main)'!$G$10</f>
        <v>1</v>
      </c>
      <c r="M12" s="63">
        <f>'Crop Budget (Main)'!$K$10</f>
        <v>1</v>
      </c>
    </row>
    <row r="13" spans="1:13" ht="15.75">
      <c r="A13" s="136" t="s">
        <v>266</v>
      </c>
      <c r="B13" s="716">
        <v>0</v>
      </c>
      <c r="C13" s="227">
        <f t="shared" si="0"/>
        <v>0</v>
      </c>
      <c r="D13" s="64">
        <f t="shared" si="0"/>
        <v>0</v>
      </c>
      <c r="E13" s="287">
        <f t="shared" si="0"/>
        <v>0</v>
      </c>
      <c r="F13" s="227">
        <f>B13/(K13+L13+M13)*K13</f>
        <v>0</v>
      </c>
      <c r="G13" s="64">
        <f>B13/(K13+L13+M13)*L13</f>
        <v>0</v>
      </c>
      <c r="H13" s="287">
        <f>B13/(K13+L13+M13)*M13</f>
        <v>0</v>
      </c>
      <c r="K13" s="63">
        <f>'Crop Budget (Main)'!$C$10</f>
        <v>1</v>
      </c>
      <c r="L13" s="63">
        <f>'Crop Budget (Main)'!$G$10</f>
        <v>1</v>
      </c>
      <c r="M13" s="63">
        <f>'Crop Budget (Main)'!$K$10</f>
        <v>1</v>
      </c>
    </row>
    <row r="14" spans="1:13" ht="15.75">
      <c r="A14" s="136" t="s">
        <v>224</v>
      </c>
      <c r="B14" s="716">
        <v>0</v>
      </c>
      <c r="C14" s="288">
        <f t="shared" si="0"/>
        <v>0</v>
      </c>
      <c r="D14" s="289">
        <f t="shared" si="0"/>
        <v>0</v>
      </c>
      <c r="E14" s="290">
        <f t="shared" si="0"/>
        <v>0</v>
      </c>
      <c r="F14" s="288">
        <f>B14/(K14+L14+M14)*K14</f>
        <v>0</v>
      </c>
      <c r="G14" s="289">
        <f>B14/(K14+L14+M14)*L14</f>
        <v>0</v>
      </c>
      <c r="H14" s="290">
        <f>B14/(K14+L14+M14)*M14</f>
        <v>0</v>
      </c>
      <c r="K14" s="63">
        <f>'Crop Budget (Main)'!$C$10</f>
        <v>1</v>
      </c>
      <c r="L14" s="63">
        <f>'Crop Budget (Main)'!$G$10</f>
        <v>1</v>
      </c>
      <c r="M14" s="63">
        <f>'Crop Budget (Main)'!$K$10</f>
        <v>1</v>
      </c>
    </row>
    <row r="18" spans="1:9" ht="18.75">
      <c r="A18" s="1053" t="s">
        <v>312</v>
      </c>
      <c r="B18" s="1053"/>
      <c r="C18" s="1053"/>
      <c r="D18" s="1053"/>
      <c r="E18" s="1053"/>
      <c r="F18" s="1053"/>
      <c r="G18" s="1053"/>
      <c r="H18" s="1053"/>
    </row>
    <row r="19" spans="1:9" ht="15.75">
      <c r="A19" s="2"/>
      <c r="B19" s="502" t="str">
        <f>'Crop Budget (Main)'!C5</f>
        <v>Select Crop</v>
      </c>
      <c r="C19" s="502" t="str">
        <f>'Crop Budget (Main)'!G5</f>
        <v>Select Crop</v>
      </c>
      <c r="D19" s="502" t="str">
        <f>'Crop Budget (Main)'!K5</f>
        <v>Select Crop</v>
      </c>
      <c r="E19" s="48"/>
      <c r="F19" s="48"/>
      <c r="G19" s="2"/>
      <c r="H19" s="52" t="s">
        <v>294</v>
      </c>
    </row>
    <row r="20" spans="1:9" ht="15.75">
      <c r="A20" s="19" t="s">
        <v>313</v>
      </c>
      <c r="B20" s="496">
        <f>'Crop Budget (Main)'!E16</f>
        <v>0</v>
      </c>
      <c r="C20" s="496">
        <f>'Crop Budget (Main)'!I16</f>
        <v>0</v>
      </c>
      <c r="D20" s="496">
        <f>'Crop Budget (Main)'!M16</f>
        <v>0</v>
      </c>
      <c r="E20" s="48"/>
      <c r="F20" s="48"/>
      <c r="G20" s="2"/>
      <c r="H20" s="206">
        <f>SUM(B20:G20)</f>
        <v>0</v>
      </c>
    </row>
    <row r="21" spans="1:9" ht="15.75">
      <c r="A21" s="2"/>
      <c r="B21" s="2"/>
      <c r="C21" s="137" t="s">
        <v>128</v>
      </c>
      <c r="D21" s="48"/>
      <c r="E21" s="137" t="s">
        <v>128</v>
      </c>
      <c r="F21" s="48"/>
      <c r="G21" s="137" t="s">
        <v>128</v>
      </c>
      <c r="H21" s="2"/>
    </row>
    <row r="22" spans="1:9" ht="15.75">
      <c r="A22" s="2" t="s">
        <v>311</v>
      </c>
      <c r="B22" s="48" t="s">
        <v>326</v>
      </c>
      <c r="C22" s="520">
        <v>0</v>
      </c>
      <c r="D22" s="48" t="s">
        <v>315</v>
      </c>
      <c r="E22" s="355">
        <v>0</v>
      </c>
      <c r="F22" s="48" t="s">
        <v>316</v>
      </c>
      <c r="G22" s="521">
        <v>0</v>
      </c>
      <c r="H22" s="522">
        <f>(C22*0.1)+(E22*G22)</f>
        <v>0</v>
      </c>
    </row>
    <row r="23" spans="1:9" ht="15.75">
      <c r="A23" s="2" t="s">
        <v>314</v>
      </c>
      <c r="B23" s="2"/>
      <c r="C23" s="48"/>
      <c r="D23" s="48"/>
      <c r="E23" s="48"/>
      <c r="F23" s="48"/>
      <c r="G23" s="2"/>
      <c r="H23" s="2"/>
      <c r="I23" s="308" t="s">
        <v>255</v>
      </c>
    </row>
    <row r="24" spans="1:9" ht="15.75">
      <c r="A24" s="2"/>
      <c r="B24" s="2"/>
      <c r="C24" s="1054" t="s">
        <v>65</v>
      </c>
      <c r="D24" s="1055"/>
      <c r="E24" s="1056"/>
      <c r="F24" s="1054" t="s">
        <v>294</v>
      </c>
      <c r="G24" s="1055"/>
      <c r="H24" s="1056"/>
      <c r="I24" s="308" t="s">
        <v>256</v>
      </c>
    </row>
    <row r="25" spans="1:9" ht="15.75">
      <c r="A25" s="2"/>
      <c r="B25" s="2"/>
      <c r="C25" s="501" t="str">
        <f>B19</f>
        <v>Select Crop</v>
      </c>
      <c r="D25" s="502" t="str">
        <f>C19</f>
        <v>Select Crop</v>
      </c>
      <c r="E25" s="503" t="str">
        <f>D19</f>
        <v>Select Crop</v>
      </c>
      <c r="F25" s="501" t="str">
        <f>B19</f>
        <v>Select Crop</v>
      </c>
      <c r="G25" s="502" t="str">
        <f>C19</f>
        <v>Select Crop</v>
      </c>
      <c r="H25" s="503" t="str">
        <f>D19</f>
        <v>Select Crop</v>
      </c>
      <c r="I25" s="953" t="s">
        <v>254</v>
      </c>
    </row>
    <row r="26" spans="1:9" ht="15.75">
      <c r="A26" s="2" t="s">
        <v>317</v>
      </c>
      <c r="B26" s="41"/>
      <c r="C26" s="717">
        <f>F26/K12</f>
        <v>0</v>
      </c>
      <c r="D26" s="718">
        <f t="shared" ref="D26:E26" si="1">G26/L12</f>
        <v>0</v>
      </c>
      <c r="E26" s="719">
        <f t="shared" si="1"/>
        <v>0</v>
      </c>
      <c r="F26" s="717">
        <f>$H$22/($K$12+$L$12+$M$12)*K12</f>
        <v>0</v>
      </c>
      <c r="G26" s="718">
        <f>($H$22/($K$12+$L$12+$M$12))*L12</f>
        <v>0</v>
      </c>
      <c r="H26" s="719">
        <f>($H$22/($K$12+$L$12+$M$12))*M12</f>
        <v>0</v>
      </c>
      <c r="I26" s="953"/>
    </row>
    <row r="27" spans="1:9" ht="15.75">
      <c r="A27" s="2"/>
      <c r="B27" s="2"/>
      <c r="C27" s="48"/>
      <c r="D27" s="48"/>
      <c r="E27" s="48"/>
      <c r="F27" s="48"/>
      <c r="G27" s="2"/>
      <c r="H27" s="2"/>
    </row>
    <row r="28" spans="1:9">
      <c r="C28"/>
      <c r="D28"/>
      <c r="E28"/>
      <c r="F28"/>
    </row>
    <row r="29" spans="1:9" ht="18.75">
      <c r="A29" s="1053" t="s">
        <v>322</v>
      </c>
      <c r="B29" s="1053"/>
      <c r="C29" s="1053"/>
      <c r="D29" s="1053"/>
      <c r="E29" s="1053"/>
      <c r="F29" s="1053"/>
      <c r="G29" s="1053"/>
      <c r="H29" s="1053"/>
    </row>
    <row r="30" spans="1:9" ht="15.75">
      <c r="A30" s="519"/>
      <c r="B30" s="137" t="s">
        <v>128</v>
      </c>
      <c r="C30" s="519"/>
      <c r="D30" s="137" t="s">
        <v>128</v>
      </c>
      <c r="E30" s="519"/>
      <c r="F30" s="519"/>
      <c r="G30" s="519"/>
      <c r="H30" s="519"/>
    </row>
    <row r="31" spans="1:9" ht="15.75">
      <c r="A31" s="2"/>
      <c r="B31" s="19" t="s">
        <v>323</v>
      </c>
      <c r="C31" s="48"/>
      <c r="D31" s="19" t="s">
        <v>324</v>
      </c>
      <c r="E31" s="48"/>
      <c r="F31" s="48"/>
      <c r="G31" s="52" t="s">
        <v>294</v>
      </c>
      <c r="H31" s="2"/>
    </row>
    <row r="32" spans="1:9" ht="15.75">
      <c r="A32" s="2" t="s">
        <v>318</v>
      </c>
      <c r="B32" s="523">
        <v>0</v>
      </c>
      <c r="C32" s="496"/>
      <c r="D32" s="720">
        <v>0</v>
      </c>
      <c r="E32" s="496"/>
      <c r="F32" s="496"/>
      <c r="G32" s="496">
        <f>B32*D32</f>
        <v>0</v>
      </c>
      <c r="H32" s="496"/>
    </row>
    <row r="33" spans="1:12" ht="15.75">
      <c r="A33" s="2"/>
      <c r="B33" s="2"/>
      <c r="C33" s="1054" t="s">
        <v>65</v>
      </c>
      <c r="D33" s="1055"/>
      <c r="E33" s="1056"/>
      <c r="F33" s="1054" t="s">
        <v>294</v>
      </c>
      <c r="G33" s="1055"/>
      <c r="H33" s="1056"/>
    </row>
    <row r="34" spans="1:12" ht="15.75">
      <c r="A34" s="2"/>
      <c r="B34" s="2"/>
      <c r="C34" s="501" t="str">
        <f>B19</f>
        <v>Select Crop</v>
      </c>
      <c r="D34" s="502" t="str">
        <f>C19</f>
        <v>Select Crop</v>
      </c>
      <c r="E34" s="503" t="str">
        <f>D19</f>
        <v>Select Crop</v>
      </c>
      <c r="F34" s="501" t="str">
        <f>B19</f>
        <v>Select Crop</v>
      </c>
      <c r="G34" s="502" t="str">
        <f>C19</f>
        <v>Select Crop</v>
      </c>
      <c r="H34" s="503" t="str">
        <f>D19</f>
        <v>Select Crop</v>
      </c>
    </row>
    <row r="35" spans="1:12" ht="15.75">
      <c r="A35" s="2"/>
      <c r="B35" s="2"/>
      <c r="C35" s="717">
        <f>F35/K12</f>
        <v>0</v>
      </c>
      <c r="D35" s="718">
        <f t="shared" ref="D35:E35" si="2">G35/L12</f>
        <v>0</v>
      </c>
      <c r="E35" s="719">
        <f t="shared" si="2"/>
        <v>0</v>
      </c>
      <c r="F35" s="717">
        <f>($G$32/($K$12+$L$12+$M$12))*K12</f>
        <v>0</v>
      </c>
      <c r="G35" s="718">
        <f>($G$32/($K$12+$L$12+$M$12))*L12</f>
        <v>0</v>
      </c>
      <c r="H35" s="719">
        <f>($G$32/($K$12+$L$12+$M$12))*M12</f>
        <v>0</v>
      </c>
    </row>
    <row r="37" spans="1:12" ht="18.75">
      <c r="A37" s="1053" t="s">
        <v>359</v>
      </c>
      <c r="B37" s="1053"/>
      <c r="C37" s="1053"/>
      <c r="D37" s="1053"/>
      <c r="E37" s="1053"/>
      <c r="F37" s="1053"/>
      <c r="G37" s="1053"/>
      <c r="H37" s="1053"/>
      <c r="I37" s="308" t="s">
        <v>255</v>
      </c>
    </row>
    <row r="38" spans="1:12" ht="15.75">
      <c r="B38" s="4" t="s">
        <v>65</v>
      </c>
      <c r="C38" s="4" t="s">
        <v>294</v>
      </c>
      <c r="D38" s="4" t="s">
        <v>65</v>
      </c>
      <c r="E38" s="4" t="s">
        <v>294</v>
      </c>
      <c r="F38" s="4" t="s">
        <v>65</v>
      </c>
      <c r="G38" t="s">
        <v>294</v>
      </c>
      <c r="I38" s="308" t="s">
        <v>256</v>
      </c>
    </row>
    <row r="39" spans="1:12" ht="15.75">
      <c r="B39" s="502" t="str">
        <f>B19</f>
        <v>Select Crop</v>
      </c>
      <c r="C39" s="52" t="str">
        <f>B19</f>
        <v>Select Crop</v>
      </c>
      <c r="D39" s="502" t="str">
        <f>C19</f>
        <v>Select Crop</v>
      </c>
      <c r="E39" s="52" t="str">
        <f>C19</f>
        <v>Select Crop</v>
      </c>
      <c r="F39" s="502" t="str">
        <f>D19</f>
        <v>Select Crop</v>
      </c>
      <c r="G39" s="52" t="str">
        <f>D19</f>
        <v>Select Crop</v>
      </c>
      <c r="I39" s="953" t="s">
        <v>254</v>
      </c>
    </row>
    <row r="40" spans="1:12" ht="15.75">
      <c r="A40" s="332" t="s">
        <v>358</v>
      </c>
      <c r="B40" s="524">
        <f>'Crop Budget (Main)'!$C$74</f>
        <v>0</v>
      </c>
      <c r="C40" s="524">
        <f>B40*'Crop Budget (Main)'!$C$10</f>
        <v>0</v>
      </c>
      <c r="D40" s="524">
        <f>'Crop Budget (Main)'!$G$74</f>
        <v>0</v>
      </c>
      <c r="E40" s="524">
        <f>D40*'Crop Budget (Main)'!$G$10</f>
        <v>0</v>
      </c>
      <c r="F40" s="524">
        <f>'Crop Budget (Main)'!$K$74</f>
        <v>0</v>
      </c>
      <c r="G40" s="524">
        <f>F40*'Crop Budget (Main)'!$K$10</f>
        <v>0</v>
      </c>
      <c r="I40" s="953"/>
    </row>
    <row r="41" spans="1:12" ht="15.75">
      <c r="A41" s="165" t="s">
        <v>311</v>
      </c>
      <c r="B41" s="329">
        <f>C26</f>
        <v>0</v>
      </c>
      <c r="C41" s="329">
        <f>B41*'Crop Budget (Main)'!C10</f>
        <v>0</v>
      </c>
      <c r="D41" s="329">
        <f>D26</f>
        <v>0</v>
      </c>
      <c r="E41" s="329">
        <f>D41*'Crop Budget (Main)'!G10</f>
        <v>0</v>
      </c>
      <c r="F41" s="329">
        <f>E26</f>
        <v>0</v>
      </c>
      <c r="G41" s="329">
        <f>F41*'Crop Budget (Main)'!K10</f>
        <v>0</v>
      </c>
      <c r="K41" s="212" t="e">
        <f>#REF!</f>
        <v>#REF!</v>
      </c>
      <c r="L41" s="230" t="e">
        <f>#REF!*$K$16</f>
        <v>#REF!</v>
      </c>
    </row>
    <row r="42" spans="1:12" ht="15.75">
      <c r="A42" s="165" t="s">
        <v>318</v>
      </c>
      <c r="B42" s="330">
        <f>C35</f>
        <v>0</v>
      </c>
      <c r="C42" s="330">
        <f>B42*'Crop Budget (Main)'!C10</f>
        <v>0</v>
      </c>
      <c r="D42" s="330">
        <f>D35</f>
        <v>0</v>
      </c>
      <c r="E42" s="330">
        <f>D42*'Crop Budget (Main)'!G10</f>
        <v>0</v>
      </c>
      <c r="F42" s="330">
        <f>E35</f>
        <v>0</v>
      </c>
      <c r="G42" s="330">
        <f>F42*'Crop Budget (Main)'!K10</f>
        <v>0</v>
      </c>
      <c r="K42" s="212" t="e">
        <f>#REF!</f>
        <v>#REF!</v>
      </c>
      <c r="L42" s="230" t="e">
        <f>#REF!*$K$16</f>
        <v>#REF!</v>
      </c>
    </row>
    <row r="43" spans="1:12" ht="15.75">
      <c r="A43" s="315" t="s">
        <v>320</v>
      </c>
      <c r="B43" s="331">
        <f t="shared" ref="B43:G43" si="3">B41+B42</f>
        <v>0</v>
      </c>
      <c r="C43" s="331">
        <f t="shared" si="3"/>
        <v>0</v>
      </c>
      <c r="D43" s="331">
        <f t="shared" si="3"/>
        <v>0</v>
      </c>
      <c r="E43" s="331">
        <f t="shared" si="3"/>
        <v>0</v>
      </c>
      <c r="F43" s="331">
        <f t="shared" si="3"/>
        <v>0</v>
      </c>
      <c r="G43" s="331">
        <f t="shared" si="3"/>
        <v>0</v>
      </c>
      <c r="K43" s="284"/>
      <c r="L43" s="285" t="e">
        <f>SUM(L41:L42)</f>
        <v>#REF!</v>
      </c>
    </row>
    <row r="44" spans="1:12" ht="16.5" thickBot="1">
      <c r="A44" s="333" t="s">
        <v>360</v>
      </c>
      <c r="B44" s="334">
        <f t="shared" ref="B44:G44" si="4">B40-B43</f>
        <v>0</v>
      </c>
      <c r="C44" s="334">
        <f t="shared" si="4"/>
        <v>0</v>
      </c>
      <c r="D44" s="334">
        <f t="shared" si="4"/>
        <v>0</v>
      </c>
      <c r="E44" s="334">
        <f t="shared" si="4"/>
        <v>0</v>
      </c>
      <c r="F44" s="334">
        <f t="shared" si="4"/>
        <v>0</v>
      </c>
      <c r="G44" s="334">
        <f t="shared" si="4"/>
        <v>0</v>
      </c>
      <c r="K44" s="214"/>
      <c r="L44" s="231" t="e">
        <f>#REF!*#REF!</f>
        <v>#REF!</v>
      </c>
    </row>
    <row r="45" spans="1:12" ht="17.25" thickTop="1" thickBot="1">
      <c r="A45" s="2"/>
      <c r="B45" s="328"/>
      <c r="C45" s="48"/>
      <c r="D45" s="48"/>
      <c r="E45" s="48"/>
      <c r="F45" s="48"/>
      <c r="G45" s="2"/>
      <c r="K45" s="325"/>
      <c r="L45" s="327" t="e">
        <f>#REF!*#REF!</f>
        <v>#REF!</v>
      </c>
    </row>
    <row r="46" spans="1:12" ht="15.75">
      <c r="A46" s="2"/>
      <c r="B46" s="2"/>
      <c r="C46" s="48"/>
      <c r="D46" s="48"/>
      <c r="E46" s="48"/>
      <c r="F46" s="48"/>
      <c r="G46" s="2"/>
    </row>
    <row r="47" spans="1:12" ht="15.75">
      <c r="A47" s="278" t="s">
        <v>285</v>
      </c>
      <c r="B47" s="1051" t="str">
        <f>B19</f>
        <v>Select Crop</v>
      </c>
      <c r="C47" s="1052"/>
      <c r="D47" s="1052" t="str">
        <f>C19</f>
        <v>Select Crop</v>
      </c>
      <c r="E47" s="1052"/>
      <c r="F47" s="1052" t="str">
        <f>D19</f>
        <v>Select Crop</v>
      </c>
      <c r="G47" s="1052"/>
    </row>
    <row r="48" spans="1:12" ht="15.75">
      <c r="A48" s="279" t="s">
        <v>667</v>
      </c>
      <c r="B48" s="140" t="e">
        <f>('Crop Budget (Main)'!$C$73-'Capital &amp; Opportunity'!$C$12)/'Crop Budget (Main)'!$C$9</f>
        <v>#DIV/0!</v>
      </c>
      <c r="C48" s="335" t="s">
        <v>652</v>
      </c>
      <c r="D48" s="339" t="e">
        <f>('Crop Budget (Main)'!$G$73-'Capital &amp; Opportunity'!$D$12)/'Crop Budget (Main)'!$G$9</f>
        <v>#DIV/0!</v>
      </c>
      <c r="E48" s="335" t="s">
        <v>652</v>
      </c>
      <c r="F48" s="339" t="e">
        <f>('Crop Budget (Main)'!$K$73-'Capital &amp; Opportunity'!$E$12)/'Crop Budget (Main)'!$K$9</f>
        <v>#DIV/0!</v>
      </c>
      <c r="G48" s="335" t="s">
        <v>652</v>
      </c>
    </row>
    <row r="49" spans="1:7" ht="15.75">
      <c r="A49" s="279" t="s">
        <v>287</v>
      </c>
      <c r="B49" s="549" t="e">
        <f>('Crop Budget (Main)'!$C$73-'Capital &amp; Opportunity'!$C$12)/'Crop Budget (Main)'!$C$8</f>
        <v>#DIV/0!</v>
      </c>
      <c r="C49" s="336" t="str">
        <f>'Crop Budget (Main)'!D9</f>
        <v>Unit</v>
      </c>
      <c r="D49" s="549" t="e">
        <f>('Crop Budget (Main)'!$G$73-'Capital &amp; Opportunity'!$D$12)/'Crop Budget (Main)'!$G$8</f>
        <v>#DIV/0!</v>
      </c>
      <c r="E49" s="336" t="str">
        <f>'Crop Budget (Main)'!H9</f>
        <v>Unit</v>
      </c>
      <c r="F49" s="549" t="e">
        <f>('Crop Budget (Main)'!$K$73-'Capital &amp; Opportunity'!$E$12)/'Crop Budget (Main)'!$K$8</f>
        <v>#DIV/0!</v>
      </c>
      <c r="G49" s="336" t="str">
        <f>'Crop Budget (Main)'!L9</f>
        <v>Unit</v>
      </c>
    </row>
    <row r="50" spans="1:7" ht="15.75">
      <c r="A50" s="2"/>
      <c r="B50" s="2"/>
      <c r="C50" s="48"/>
      <c r="D50" s="48"/>
      <c r="E50" s="48"/>
      <c r="F50" s="48"/>
      <c r="G50" s="2"/>
    </row>
    <row r="51" spans="1:7" ht="15.75">
      <c r="A51" s="278" t="s">
        <v>325</v>
      </c>
      <c r="B51" s="2"/>
      <c r="C51" s="48"/>
      <c r="D51" s="48"/>
      <c r="E51" s="48"/>
      <c r="F51" s="48"/>
      <c r="G51" s="2"/>
    </row>
    <row r="52" spans="1:7" ht="15.75">
      <c r="A52" s="279" t="s">
        <v>667</v>
      </c>
      <c r="B52" s="339" t="e">
        <f>('Crop Budget (Main)'!$C$73-'Capital &amp; Opportunity'!$C$12+B43)/'Crop Budget (Main)'!$C$9</f>
        <v>#DIV/0!</v>
      </c>
      <c r="C52" s="335" t="s">
        <v>652</v>
      </c>
      <c r="D52" s="339" t="e">
        <f>('Crop Budget (Main)'!$G$73-'Capital &amp; Opportunity'!$D$12+D43)/'Crop Budget (Main)'!$G$9</f>
        <v>#DIV/0!</v>
      </c>
      <c r="E52" s="335" t="s">
        <v>652</v>
      </c>
      <c r="F52" s="339" t="e">
        <f>('Crop Budget (Main)'!$K$73-'Capital &amp; Opportunity'!$E$12+F43)/'Crop Budget (Main)'!$K$9</f>
        <v>#DIV/0!</v>
      </c>
      <c r="G52" s="335" t="s">
        <v>652</v>
      </c>
    </row>
    <row r="53" spans="1:7" ht="15.75">
      <c r="A53" s="279" t="s">
        <v>287</v>
      </c>
      <c r="B53" s="549" t="e">
        <f>('Crop Budget (Main)'!$C$73-'Capital &amp; Opportunity'!$C$12+B43)/'Crop Budget (Main)'!$C$8</f>
        <v>#DIV/0!</v>
      </c>
      <c r="C53" s="336" t="str">
        <f>'Crop Budget (Main)'!D9</f>
        <v>Unit</v>
      </c>
      <c r="D53" s="549" t="e">
        <f>('Crop Budget (Main)'!$G$73-'Capital &amp; Opportunity'!$D$12+D43)/'Crop Budget (Main)'!$G$8</f>
        <v>#DIV/0!</v>
      </c>
      <c r="E53" s="336" t="str">
        <f>'Crop Budget (Main)'!H9</f>
        <v>Unit</v>
      </c>
      <c r="F53" s="549" t="e">
        <f>('Crop Budget (Main)'!$K$73-'Capital &amp; Opportunity'!$E$12+F43)/'Crop Budget (Main)'!$K$8</f>
        <v>#DIV/0!</v>
      </c>
      <c r="G53" s="336" t="str">
        <f>'Crop Budget (Main)'!L9</f>
        <v>Unit</v>
      </c>
    </row>
  </sheetData>
  <sheetProtection algorithmName="SHA-512" hashValue="lIq2fN+L5JvsG7ziDgEPdb8syvCObGPjEmxOwNmnGMqBkDVoCNviD8wy24Wj0u9MbrEN2KWxir/d2AsYOEQVUQ==" saltValue="hoTfGnbVC0F1sm9Q2irgGA==" spinCount="100000" sheet="1" objects="1" scenarios="1"/>
  <mergeCells count="16">
    <mergeCell ref="B47:C47"/>
    <mergeCell ref="D47:E47"/>
    <mergeCell ref="F47:G47"/>
    <mergeCell ref="I39:I40"/>
    <mergeCell ref="A3:H3"/>
    <mergeCell ref="I25:I26"/>
    <mergeCell ref="I11:I12"/>
    <mergeCell ref="A29:H29"/>
    <mergeCell ref="A18:H18"/>
    <mergeCell ref="C24:E24"/>
    <mergeCell ref="F24:H24"/>
    <mergeCell ref="C33:E33"/>
    <mergeCell ref="F33:H33"/>
    <mergeCell ref="C10:E10"/>
    <mergeCell ref="F10:H10"/>
    <mergeCell ref="A37:H37"/>
  </mergeCells>
  <conditionalFormatting sqref="C12:E13">
    <cfRule type="dataBar" priority="515">
      <dataBar>
        <cfvo type="min"/>
        <cfvo type="max"/>
        <color rgb="FF63C384"/>
      </dataBar>
    </cfRule>
  </conditionalFormatting>
  <conditionalFormatting sqref="C14:E14">
    <cfRule type="dataBar" priority="10">
      <dataBar>
        <cfvo type="min"/>
        <cfvo type="max"/>
        <color rgb="FF63C384"/>
      </dataBar>
    </cfRule>
  </conditionalFormatting>
  <conditionalFormatting sqref="F12:H13">
    <cfRule type="dataBar" priority="513">
      <dataBar>
        <cfvo type="min"/>
        <cfvo type="max"/>
        <color rgb="FF63C384"/>
      </dataBar>
    </cfRule>
  </conditionalFormatting>
  <conditionalFormatting sqref="F14:H14">
    <cfRule type="dataBar" priority="9">
      <dataBar>
        <cfvo type="min"/>
        <cfvo type="max"/>
        <color rgb="FF63C384"/>
      </dataBar>
    </cfRule>
  </conditionalFormatting>
  <conditionalFormatting sqref="K41:K42">
    <cfRule type="dataBar" priority="3">
      <dataBar showValue="0">
        <cfvo type="min"/>
        <cfvo type="max"/>
        <color rgb="FF63C384"/>
      </dataBar>
      <extLst>
        <ext xmlns:x14="http://schemas.microsoft.com/office/spreadsheetml/2009/9/main" uri="{B025F937-C7B1-47D3-B67F-A62EFF666E3E}">
          <x14:id>{2AA36DEF-4ABA-4792-BEEB-B3B00529D24C}</x14:id>
        </ext>
      </extLst>
    </cfRule>
  </conditionalFormatting>
  <pageMargins left="0.7" right="0.7" top="0.75" bottom="0.75" header="0.3" footer="0.3"/>
  <pageSetup scale="59" orientation="landscape" r:id="rId1"/>
  <extLst>
    <ext xmlns:x14="http://schemas.microsoft.com/office/spreadsheetml/2009/9/main" uri="{78C0D931-6437-407d-A8EE-F0AAD7539E65}">
      <x14:conditionalFormattings>
        <x14:conditionalFormatting xmlns:xm="http://schemas.microsoft.com/office/excel/2006/main">
          <x14:cfRule type="dataBar" id="{2AA36DEF-4ABA-4792-BEEB-B3B00529D24C}">
            <x14:dataBar minLength="0" maxLength="100" border="1" negativeBarBorderColorSameAsPositive="0">
              <x14:cfvo type="autoMin"/>
              <x14:cfvo type="autoMax"/>
              <x14:borderColor rgb="FF63C384"/>
              <x14:negativeFillColor rgb="FFFF0000"/>
              <x14:negativeBorderColor rgb="FFFF0000"/>
              <x14:axisColor rgb="FF000000"/>
            </x14:dataBar>
          </x14:cfRule>
          <xm:sqref>K41:K42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C0D98-0FD5-4A88-9C62-E7BDBB147E76}">
  <sheetPr codeName="Sheet121"/>
  <dimension ref="A1:K60"/>
  <sheetViews>
    <sheetView zoomScaleNormal="100" workbookViewId="0">
      <selection activeCell="A42" sqref="A42"/>
    </sheetView>
  </sheetViews>
  <sheetFormatPr defaultColWidth="8.85546875" defaultRowHeight="15"/>
  <cols>
    <col min="1" max="1" width="40.28515625" bestFit="1" customWidth="1"/>
    <col min="2" max="2" width="14.85546875" bestFit="1" customWidth="1"/>
    <col min="3" max="3" width="18.28515625" bestFit="1" customWidth="1"/>
    <col min="4" max="4" width="16.42578125" bestFit="1" customWidth="1"/>
    <col min="5" max="5" width="16.140625" bestFit="1" customWidth="1"/>
    <col min="6" max="6" width="16.42578125" bestFit="1" customWidth="1"/>
    <col min="9" max="11" width="9.140625" hidden="1" customWidth="1"/>
    <col min="12" max="12" width="9.140625" customWidth="1"/>
  </cols>
  <sheetData>
    <row r="1" spans="1:11" ht="18.75">
      <c r="A1" s="1053" t="s">
        <v>330</v>
      </c>
      <c r="B1" s="1053"/>
      <c r="C1" s="1053"/>
      <c r="D1" s="1053"/>
      <c r="E1" s="1053"/>
      <c r="F1" s="1053"/>
      <c r="I1" s="4" t="s">
        <v>64</v>
      </c>
      <c r="J1" s="4" t="s">
        <v>116</v>
      </c>
      <c r="K1" s="4" t="s">
        <v>117</v>
      </c>
    </row>
    <row r="2" spans="1:11" hidden="1">
      <c r="B2" s="137" t="s">
        <v>128</v>
      </c>
      <c r="C2" s="137" t="s">
        <v>128</v>
      </c>
      <c r="D2" s="137" t="s">
        <v>128</v>
      </c>
      <c r="I2" s="63">
        <f>'Crop Budget (Main)'!$C$10</f>
        <v>1</v>
      </c>
      <c r="J2" s="63">
        <f>'Crop Budget (Main)'!$G$10</f>
        <v>1</v>
      </c>
      <c r="K2" s="63">
        <f>'Crop Budget (Main)'!$K$10</f>
        <v>1</v>
      </c>
    </row>
    <row r="3" spans="1:11" hidden="1">
      <c r="B3" s="302" t="s">
        <v>64</v>
      </c>
      <c r="C3" s="302" t="s">
        <v>116</v>
      </c>
      <c r="D3" s="302" t="s">
        <v>117</v>
      </c>
      <c r="E3" s="4"/>
      <c r="F3" s="302" t="s">
        <v>294</v>
      </c>
    </row>
    <row r="4" spans="1:11" hidden="1">
      <c r="A4" s="303" t="s">
        <v>363</v>
      </c>
      <c r="B4" s="363">
        <v>0</v>
      </c>
      <c r="C4" s="363">
        <v>0</v>
      </c>
      <c r="D4" s="363">
        <v>0</v>
      </c>
      <c r="E4" s="4"/>
      <c r="F4" s="304">
        <f>SUM(B4:E4)</f>
        <v>0</v>
      </c>
    </row>
    <row r="5" spans="1:11" hidden="1">
      <c r="C5" s="137"/>
      <c r="D5" s="4"/>
      <c r="E5" s="137"/>
    </row>
    <row r="6" spans="1:11" hidden="1">
      <c r="B6" s="61" t="s">
        <v>338</v>
      </c>
      <c r="C6" s="61" t="s">
        <v>339</v>
      </c>
      <c r="D6" s="61" t="s">
        <v>340</v>
      </c>
      <c r="E6" s="137"/>
    </row>
    <row r="7" spans="1:11" hidden="1">
      <c r="A7" t="s">
        <v>329</v>
      </c>
      <c r="B7" s="305">
        <f>B4/I2</f>
        <v>0</v>
      </c>
      <c r="C7" s="305">
        <f>C4/J2</f>
        <v>0</v>
      </c>
      <c r="D7" s="305">
        <f>D4/K2</f>
        <v>0</v>
      </c>
      <c r="E7" s="306"/>
      <c r="F7" s="57"/>
    </row>
    <row r="8" spans="1:11" hidden="1">
      <c r="C8" s="4"/>
      <c r="D8" s="4"/>
      <c r="E8" s="4"/>
    </row>
    <row r="9" spans="1:11" hidden="1">
      <c r="C9" s="137" t="s">
        <v>128</v>
      </c>
      <c r="D9" s="4"/>
      <c r="E9" s="4"/>
    </row>
    <row r="10" spans="1:11" hidden="1">
      <c r="A10" t="s">
        <v>364</v>
      </c>
      <c r="B10" t="s">
        <v>331</v>
      </c>
      <c r="C10" s="363">
        <v>0</v>
      </c>
      <c r="E10" s="302"/>
    </row>
    <row r="11" spans="1:11" hidden="1">
      <c r="E11" s="305"/>
    </row>
    <row r="12" spans="1:11" hidden="1">
      <c r="B12" s="61" t="s">
        <v>341</v>
      </c>
      <c r="C12" s="61" t="s">
        <v>342</v>
      </c>
      <c r="D12" s="61" t="s">
        <v>343</v>
      </c>
      <c r="F12" s="302" t="s">
        <v>294</v>
      </c>
    </row>
    <row r="13" spans="1:11" hidden="1">
      <c r="B13" s="305">
        <f>$C$10/($I$2+$J$2+$K$2)*I2</f>
        <v>0</v>
      </c>
      <c r="C13" s="305">
        <f>$C$10/($I$2+$J$2+$K$2)*J2</f>
        <v>0</v>
      </c>
      <c r="D13" s="305">
        <f>$C$10/($I$2+$J$2+$K$2)*K2</f>
        <v>0</v>
      </c>
      <c r="F13" s="304">
        <f>SUM(B13:E13)</f>
        <v>0</v>
      </c>
    </row>
    <row r="14" spans="1:11" hidden="1"/>
    <row r="15" spans="1:11" hidden="1">
      <c r="B15" s="61" t="s">
        <v>338</v>
      </c>
      <c r="C15" s="61" t="s">
        <v>339</v>
      </c>
      <c r="D15" s="61" t="s">
        <v>340</v>
      </c>
    </row>
    <row r="16" spans="1:11" hidden="1">
      <c r="B16" s="305">
        <f>B13/I2</f>
        <v>0</v>
      </c>
      <c r="C16" s="305">
        <f>C13/J2</f>
        <v>0</v>
      </c>
      <c r="D16" s="305">
        <f>D13/K2</f>
        <v>0</v>
      </c>
    </row>
    <row r="17" spans="1:6" hidden="1"/>
    <row r="18" spans="1:6">
      <c r="A18" t="s">
        <v>330</v>
      </c>
      <c r="C18" s="137" t="s">
        <v>128</v>
      </c>
      <c r="D18" s="4"/>
    </row>
    <row r="19" spans="1:6">
      <c r="A19" t="s">
        <v>332</v>
      </c>
      <c r="B19" t="s">
        <v>331</v>
      </c>
      <c r="C19" s="363">
        <v>0</v>
      </c>
    </row>
    <row r="21" spans="1:6">
      <c r="A21" s="715" t="s">
        <v>294</v>
      </c>
      <c r="B21" s="61" t="str">
        <f>'Crop Budget (Main)'!C5</f>
        <v>Select Crop</v>
      </c>
      <c r="C21" s="61" t="str">
        <f>'Crop Budget (Main)'!G5</f>
        <v>Select Crop</v>
      </c>
      <c r="D21" s="61" t="str">
        <f>'Crop Budget (Main)'!K5</f>
        <v>Select Crop</v>
      </c>
      <c r="F21" s="302" t="s">
        <v>294</v>
      </c>
    </row>
    <row r="22" spans="1:6">
      <c r="A22" s="715"/>
      <c r="B22" s="305">
        <f>$C$19/($I$2+$J$2+$K$2)*I2</f>
        <v>0</v>
      </c>
      <c r="C22" s="305">
        <f>$C$19/($I$2+$J$2+$K$2)*J2</f>
        <v>0</v>
      </c>
      <c r="D22" s="305">
        <f>$C$19/($I$2+$J$2+$K$2)*K2</f>
        <v>0</v>
      </c>
      <c r="F22" s="304">
        <f>SUM(B22:E22)</f>
        <v>0</v>
      </c>
    </row>
    <row r="23" spans="1:6">
      <c r="A23" s="715"/>
    </row>
    <row r="24" spans="1:6">
      <c r="A24" s="715" t="s">
        <v>65</v>
      </c>
      <c r="B24" s="61" t="str">
        <f>B21</f>
        <v>Select Crop</v>
      </c>
      <c r="C24" s="61" t="str">
        <f>C21</f>
        <v>Select Crop</v>
      </c>
      <c r="D24" s="61" t="str">
        <f t="shared" ref="D24" si="0">D21</f>
        <v>Select Crop</v>
      </c>
    </row>
    <row r="25" spans="1:6" ht="15.75">
      <c r="B25" s="305">
        <f>B22/I2</f>
        <v>0</v>
      </c>
      <c r="C25" s="305">
        <f>C22/J2</f>
        <v>0</v>
      </c>
      <c r="D25" s="305">
        <f>D22/K2</f>
        <v>0</v>
      </c>
      <c r="F25" s="308"/>
    </row>
    <row r="26" spans="1:6" ht="15.75">
      <c r="F26" s="308"/>
    </row>
    <row r="27" spans="1:6">
      <c r="F27" s="953"/>
    </row>
    <row r="28" spans="1:6" hidden="1">
      <c r="F28" s="953"/>
    </row>
    <row r="29" spans="1:6" hidden="1">
      <c r="A29" t="s">
        <v>335</v>
      </c>
    </row>
    <row r="30" spans="1:6" hidden="1">
      <c r="B30" s="61" t="str">
        <f>B21</f>
        <v>Select Crop</v>
      </c>
      <c r="C30" s="61" t="str">
        <f t="shared" ref="C30:D30" si="1">C21</f>
        <v>Select Crop</v>
      </c>
      <c r="D30" s="61" t="str">
        <f t="shared" si="1"/>
        <v>Select Crop</v>
      </c>
    </row>
    <row r="31" spans="1:6" hidden="1">
      <c r="B31" s="305">
        <f>B22+B13+B4</f>
        <v>0</v>
      </c>
      <c r="C31" s="305">
        <f t="shared" ref="C31:D31" si="2">C22+C13+C4</f>
        <v>0</v>
      </c>
      <c r="D31" s="305">
        <f t="shared" si="2"/>
        <v>0</v>
      </c>
    </row>
    <row r="32" spans="1:6" hidden="1"/>
    <row r="33" spans="1:6" hidden="1">
      <c r="B33" s="61" t="str">
        <f>B21</f>
        <v>Select Crop</v>
      </c>
      <c r="C33" s="61" t="str">
        <f t="shared" ref="C33:D33" si="3">C21</f>
        <v>Select Crop</v>
      </c>
      <c r="D33" s="61" t="str">
        <f t="shared" si="3"/>
        <v>Select Crop</v>
      </c>
    </row>
    <row r="34" spans="1:6" hidden="1">
      <c r="B34" s="305">
        <f>B31/I2</f>
        <v>0</v>
      </c>
      <c r="C34" s="305">
        <f>C31/J2</f>
        <v>0</v>
      </c>
      <c r="D34" s="305">
        <f>D31/K2</f>
        <v>0</v>
      </c>
    </row>
    <row r="37" spans="1:6" ht="18.75">
      <c r="A37" s="1053" t="s">
        <v>85</v>
      </c>
      <c r="B37" s="1053"/>
      <c r="C37" s="1053"/>
      <c r="D37" s="1053"/>
      <c r="E37" s="1053"/>
      <c r="F37" s="1053"/>
    </row>
    <row r="38" spans="1:6">
      <c r="B38" s="137" t="s">
        <v>128</v>
      </c>
      <c r="C38" s="137" t="s">
        <v>128</v>
      </c>
      <c r="D38" s="137" t="s">
        <v>128</v>
      </c>
    </row>
    <row r="39" spans="1:6">
      <c r="A39" t="s">
        <v>366</v>
      </c>
      <c r="B39" s="302" t="str">
        <f>B21</f>
        <v>Select Crop</v>
      </c>
      <c r="C39" s="302" t="str">
        <f t="shared" ref="C39:D39" si="4">C21</f>
        <v>Select Crop</v>
      </c>
      <c r="D39" s="302" t="str">
        <f t="shared" si="4"/>
        <v>Select Crop</v>
      </c>
    </row>
    <row r="40" spans="1:6">
      <c r="B40" s="363">
        <v>0</v>
      </c>
      <c r="C40" s="363">
        <v>0</v>
      </c>
      <c r="D40" s="363">
        <v>0</v>
      </c>
    </row>
    <row r="41" spans="1:6">
      <c r="C41" s="137"/>
      <c r="D41" s="4"/>
    </row>
    <row r="42" spans="1:6">
      <c r="A42" s="715" t="s">
        <v>65</v>
      </c>
      <c r="B42" s="61" t="str">
        <f>B21</f>
        <v>Select Crop</v>
      </c>
      <c r="C42" s="61" t="str">
        <f t="shared" ref="C42:D42" si="5">C21</f>
        <v>Select Crop</v>
      </c>
      <c r="D42" s="61" t="str">
        <f t="shared" si="5"/>
        <v>Select Crop</v>
      </c>
    </row>
    <row r="43" spans="1:6">
      <c r="B43" s="305">
        <f>B40/I2</f>
        <v>0</v>
      </c>
      <c r="C43" s="305">
        <f>C40/J2</f>
        <v>0</v>
      </c>
      <c r="D43" s="305">
        <f>D40/K2</f>
        <v>0</v>
      </c>
    </row>
    <row r="44" spans="1:6">
      <c r="C44" s="4"/>
      <c r="D44" s="4"/>
    </row>
    <row r="45" spans="1:6" hidden="1">
      <c r="C45" s="137" t="s">
        <v>128</v>
      </c>
      <c r="D45" s="4"/>
    </row>
    <row r="46" spans="1:6" hidden="1">
      <c r="B46" t="s">
        <v>331</v>
      </c>
      <c r="C46" s="363">
        <v>0</v>
      </c>
    </row>
    <row r="47" spans="1:6" hidden="1"/>
    <row r="48" spans="1:6" hidden="1">
      <c r="B48" s="61" t="s">
        <v>341</v>
      </c>
      <c r="C48" s="61" t="s">
        <v>342</v>
      </c>
      <c r="D48" s="61" t="s">
        <v>343</v>
      </c>
    </row>
    <row r="49" spans="1:4" hidden="1">
      <c r="B49" s="305">
        <f>$C$46/($I$2+$J$2+$K$2)*I2</f>
        <v>0</v>
      </c>
      <c r="C49" s="305">
        <f>$C$46/($I$2+$J$2+$K$2)*J2</f>
        <v>0</v>
      </c>
      <c r="D49" s="305">
        <f>$C$46/($I$2+$J$2+$K$2)*K2</f>
        <v>0</v>
      </c>
    </row>
    <row r="50" spans="1:4" hidden="1"/>
    <row r="51" spans="1:4" hidden="1">
      <c r="B51" s="61" t="s">
        <v>338</v>
      </c>
      <c r="C51" s="61" t="s">
        <v>339</v>
      </c>
      <c r="D51" s="61" t="s">
        <v>340</v>
      </c>
    </row>
    <row r="52" spans="1:4" hidden="1">
      <c r="B52" s="305">
        <f>B49/I2</f>
        <v>0</v>
      </c>
      <c r="C52" s="305">
        <f>C49/J2</f>
        <v>0</v>
      </c>
      <c r="D52" s="305">
        <f>D49/K2</f>
        <v>0</v>
      </c>
    </row>
    <row r="53" spans="1:4" hidden="1"/>
    <row r="54" spans="1:4" hidden="1"/>
    <row r="55" spans="1:4" hidden="1"/>
    <row r="56" spans="1:4" hidden="1">
      <c r="A56" t="s">
        <v>367</v>
      </c>
      <c r="B56" s="61" t="s">
        <v>341</v>
      </c>
      <c r="C56" s="61" t="s">
        <v>342</v>
      </c>
      <c r="D56" s="61" t="s">
        <v>343</v>
      </c>
    </row>
    <row r="57" spans="1:4" hidden="1">
      <c r="B57" s="305">
        <f>B49+B40</f>
        <v>0</v>
      </c>
      <c r="C57" s="305">
        <f t="shared" ref="C57:D57" si="6">C49+C40</f>
        <v>0</v>
      </c>
      <c r="D57" s="305">
        <f t="shared" si="6"/>
        <v>0</v>
      </c>
    </row>
    <row r="58" spans="1:4" hidden="1"/>
    <row r="59" spans="1:4" hidden="1">
      <c r="B59" s="61" t="s">
        <v>338</v>
      </c>
      <c r="C59" s="61" t="s">
        <v>339</v>
      </c>
      <c r="D59" s="61" t="s">
        <v>340</v>
      </c>
    </row>
    <row r="60" spans="1:4" hidden="1">
      <c r="B60" s="305">
        <f>B57/I2</f>
        <v>0</v>
      </c>
      <c r="C60" s="305">
        <f t="shared" ref="C60:D60" si="7">C57/J2</f>
        <v>0</v>
      </c>
      <c r="D60" s="305">
        <f t="shared" si="7"/>
        <v>0</v>
      </c>
    </row>
  </sheetData>
  <sheetProtection algorithmName="SHA-512" hashValue="7K6dIllJqdeqwPiON8KCHM44sht2ciQGGN3CPDchKewlXkA0mRKTg1ZUC3Nslj6qYy68UBp7YIMJtY3l8l4C3w==" saltValue="zIzCeoqbi8mKxMHHkgfF1g==" spinCount="100000" sheet="1" objects="1" scenarios="1"/>
  <mergeCells count="3">
    <mergeCell ref="A1:F1"/>
    <mergeCell ref="F27:F28"/>
    <mergeCell ref="A37:F37"/>
  </mergeCells>
  <pageMargins left="0.7" right="0.7" top="0.75" bottom="0.75" header="0.3" footer="0.3"/>
  <pageSetup scale="74" orientation="portrait"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1B5E6-05EB-47E2-A192-CB6F6380FE38}">
  <sheetPr codeName="Sheet15"/>
  <dimension ref="A1:M60"/>
  <sheetViews>
    <sheetView zoomScaleNormal="100" workbookViewId="0">
      <selection activeCell="F42" sqref="F42"/>
    </sheetView>
  </sheetViews>
  <sheetFormatPr defaultColWidth="8.85546875" defaultRowHeight="15"/>
  <cols>
    <col min="2" max="2" width="25" bestFit="1" customWidth="1"/>
    <col min="3" max="3" width="13.42578125" bestFit="1" customWidth="1"/>
    <col min="4" max="4" width="16.85546875" bestFit="1" customWidth="1"/>
    <col min="5" max="5" width="20.28515625" customWidth="1"/>
    <col min="6" max="6" width="33.140625" bestFit="1" customWidth="1"/>
    <col min="7" max="7" width="14.42578125" bestFit="1" customWidth="1"/>
    <col min="9" max="9" width="22.85546875" customWidth="1"/>
    <col min="10" max="10" width="16.85546875" bestFit="1" customWidth="1"/>
    <col min="11" max="11" width="14.42578125" bestFit="1" customWidth="1"/>
    <col min="12" max="12" width="20.42578125" customWidth="1"/>
  </cols>
  <sheetData>
    <row r="1" spans="1:12" ht="18.75">
      <c r="A1" s="1053" t="s">
        <v>374</v>
      </c>
      <c r="B1" s="1053"/>
      <c r="C1" s="1053"/>
      <c r="D1" s="1053"/>
      <c r="E1" s="1053"/>
      <c r="F1" s="1053"/>
      <c r="G1" s="1053"/>
    </row>
    <row r="2" spans="1:12" ht="15.75">
      <c r="A2" s="2"/>
      <c r="B2" s="516"/>
      <c r="C2" s="517" t="s">
        <v>371</v>
      </c>
      <c r="D2" s="517" t="s">
        <v>110</v>
      </c>
      <c r="E2" s="517" t="s">
        <v>370</v>
      </c>
      <c r="F2" s="525" t="s">
        <v>373</v>
      </c>
      <c r="G2" s="516" t="s">
        <v>465</v>
      </c>
      <c r="K2" s="340"/>
    </row>
    <row r="3" spans="1:12" ht="15.75">
      <c r="A3" s="2"/>
      <c r="B3" s="526"/>
      <c r="C3" s="527"/>
      <c r="D3" s="540" t="s">
        <v>128</v>
      </c>
      <c r="E3" s="527"/>
      <c r="F3" s="528"/>
      <c r="G3" s="2"/>
      <c r="K3" s="340"/>
    </row>
    <row r="4" spans="1:12" ht="15.75">
      <c r="A4" s="2" t="s">
        <v>658</v>
      </c>
      <c r="B4" s="2" t="str">
        <f>'Crop Budget (Main)'!C5</f>
        <v>Select Crop</v>
      </c>
      <c r="C4" s="48">
        <f>'Crop Budget (Main)'!C10</f>
        <v>1</v>
      </c>
      <c r="D4" s="355">
        <v>100</v>
      </c>
      <c r="E4" s="496">
        <f>'Crop Budget (Main)'!C16</f>
        <v>0</v>
      </c>
      <c r="F4" s="496">
        <f>'Crop Budget (Main)'!C63</f>
        <v>0</v>
      </c>
      <c r="G4" s="522">
        <f>E4-F4</f>
        <v>0</v>
      </c>
    </row>
    <row r="5" spans="1:12" ht="15.75">
      <c r="A5" s="2" t="s">
        <v>657</v>
      </c>
      <c r="B5" s="2" t="str">
        <f>'Crop Budget (Main)'!G5</f>
        <v>Select Crop</v>
      </c>
      <c r="C5" s="48">
        <f>'Crop Budget (Main)'!G10</f>
        <v>1</v>
      </c>
      <c r="D5" s="355">
        <v>100</v>
      </c>
      <c r="E5" s="496">
        <f>'Crop Budget (Main)'!G16</f>
        <v>0</v>
      </c>
      <c r="F5" s="496">
        <f>'Crop Budget (Main)'!G63</f>
        <v>0</v>
      </c>
      <c r="G5" s="522">
        <f t="shared" ref="G5:G6" si="0">E5-F5</f>
        <v>0</v>
      </c>
    </row>
    <row r="6" spans="1:12" ht="15.75">
      <c r="A6" s="2" t="s">
        <v>659</v>
      </c>
      <c r="B6" s="2" t="str">
        <f>'Crop Budget (Main)'!K5</f>
        <v>Select Crop</v>
      </c>
      <c r="C6" s="48">
        <f>'Crop Budget (Main)'!K10</f>
        <v>1</v>
      </c>
      <c r="D6" s="355">
        <v>100</v>
      </c>
      <c r="E6" s="496">
        <f>'Crop Budget (Main)'!K16</f>
        <v>0</v>
      </c>
      <c r="F6" s="496">
        <f>'Crop Budget (Main)'!K63</f>
        <v>0</v>
      </c>
      <c r="G6" s="522">
        <f t="shared" si="0"/>
        <v>0</v>
      </c>
    </row>
    <row r="7" spans="1:12" ht="15.75">
      <c r="A7" s="2"/>
      <c r="B7" s="2"/>
      <c r="C7" s="2"/>
      <c r="D7" s="2"/>
      <c r="E7" s="2"/>
      <c r="F7" s="2"/>
      <c r="G7" s="2"/>
      <c r="I7" s="1062" t="s">
        <v>470</v>
      </c>
      <c r="J7" s="1063"/>
      <c r="K7" s="1063"/>
      <c r="L7" s="1064"/>
    </row>
    <row r="8" spans="1:12" ht="15.75">
      <c r="A8" s="2"/>
      <c r="B8" s="2"/>
      <c r="C8" s="48"/>
      <c r="D8" s="4"/>
      <c r="E8" s="511" t="s">
        <v>128</v>
      </c>
      <c r="F8" s="2"/>
      <c r="G8" s="2"/>
      <c r="I8" s="551"/>
      <c r="J8" s="552" t="s">
        <v>655</v>
      </c>
      <c r="K8" s="552" t="s">
        <v>469</v>
      </c>
      <c r="L8" s="552" t="s">
        <v>656</v>
      </c>
    </row>
    <row r="9" spans="1:12" ht="15.75">
      <c r="A9" s="2"/>
      <c r="B9" s="2" t="s">
        <v>376</v>
      </c>
      <c r="C9" s="529">
        <f>SUMPRODUCT(D4:D6,F4:F6)</f>
        <v>0</v>
      </c>
      <c r="D9" s="48" t="s">
        <v>368</v>
      </c>
      <c r="E9" s="530">
        <v>150000</v>
      </c>
      <c r="F9" s="531" t="s">
        <v>400</v>
      </c>
      <c r="G9" s="2"/>
      <c r="I9" s="552" t="str">
        <f>B4</f>
        <v>Select Crop</v>
      </c>
      <c r="J9" s="553">
        <f>D4*'Crop Budget (Main)'!C9</f>
        <v>0</v>
      </c>
      <c r="K9" s="554" t="s">
        <v>368</v>
      </c>
      <c r="L9" s="355">
        <v>9000</v>
      </c>
    </row>
    <row r="10" spans="1:12" ht="15.75">
      <c r="A10" s="2"/>
      <c r="B10" s="2" t="s">
        <v>663</v>
      </c>
      <c r="C10" s="532">
        <f>D4</f>
        <v>100</v>
      </c>
      <c r="D10" s="48" t="s">
        <v>369</v>
      </c>
      <c r="E10" s="355">
        <v>50</v>
      </c>
      <c r="F10" s="531" t="s">
        <v>660</v>
      </c>
      <c r="G10" s="2"/>
      <c r="I10" s="552" t="str">
        <f>B5</f>
        <v>Select Crop</v>
      </c>
      <c r="J10" s="553">
        <f>D5*'Crop Budget (Main)'!G9</f>
        <v>0</v>
      </c>
      <c r="K10" s="554" t="s">
        <v>368</v>
      </c>
      <c r="L10" s="355">
        <v>10000</v>
      </c>
    </row>
    <row r="11" spans="1:12" ht="15.75">
      <c r="A11" s="2"/>
      <c r="B11" s="2" t="s">
        <v>664</v>
      </c>
      <c r="C11" s="532">
        <f>D5</f>
        <v>100</v>
      </c>
      <c r="D11" s="48" t="s">
        <v>369</v>
      </c>
      <c r="E11" s="355">
        <v>100</v>
      </c>
      <c r="F11" s="531" t="s">
        <v>661</v>
      </c>
      <c r="G11" s="2"/>
      <c r="I11" s="552" t="str">
        <f>B6</f>
        <v>Select Crop</v>
      </c>
      <c r="J11" s="553">
        <f>D6*'Crop Budget (Main)'!K9</f>
        <v>0</v>
      </c>
      <c r="K11" s="554" t="s">
        <v>368</v>
      </c>
      <c r="L11" s="355">
        <v>9000</v>
      </c>
    </row>
    <row r="12" spans="1:12" ht="15.75">
      <c r="A12" s="2"/>
      <c r="B12" s="2" t="s">
        <v>665</v>
      </c>
      <c r="C12" s="532">
        <f>D6</f>
        <v>100</v>
      </c>
      <c r="D12" s="48" t="s">
        <v>369</v>
      </c>
      <c r="E12" s="355">
        <v>50</v>
      </c>
      <c r="F12" s="531" t="s">
        <v>662</v>
      </c>
      <c r="G12" s="2"/>
      <c r="J12" s="550"/>
      <c r="K12" s="550"/>
      <c r="L12" s="550"/>
    </row>
    <row r="13" spans="1:12" ht="16.5" thickBot="1">
      <c r="A13" s="2"/>
      <c r="B13" s="533" t="s">
        <v>110</v>
      </c>
      <c r="C13" s="534">
        <f>SUM(D4:D6)</f>
        <v>300</v>
      </c>
      <c r="D13" s="535" t="s">
        <v>186</v>
      </c>
      <c r="E13" s="536">
        <v>300</v>
      </c>
      <c r="F13" s="537" t="s">
        <v>401</v>
      </c>
      <c r="G13" s="533"/>
    </row>
    <row r="14" spans="1:12" ht="16.5" thickTop="1">
      <c r="A14" s="2"/>
      <c r="B14" s="2"/>
      <c r="C14" s="2"/>
      <c r="D14" s="2"/>
      <c r="E14" s="2"/>
      <c r="F14" s="2"/>
      <c r="G14" s="2"/>
    </row>
    <row r="15" spans="1:12" ht="15.75">
      <c r="A15" s="2"/>
      <c r="B15" s="2" t="s">
        <v>466</v>
      </c>
      <c r="C15" s="538">
        <f>SUMPRODUCT(D4:D6,G4:G6)</f>
        <v>0</v>
      </c>
      <c r="D15" s="539" t="s">
        <v>402</v>
      </c>
      <c r="E15" s="2"/>
      <c r="F15" s="2"/>
      <c r="G15" s="2"/>
    </row>
    <row r="16" spans="1:12" ht="15.75">
      <c r="A16" s="2"/>
      <c r="B16" s="2"/>
      <c r="C16" s="2"/>
      <c r="D16" s="2"/>
      <c r="E16" s="2"/>
      <c r="F16" s="2"/>
      <c r="G16" s="2"/>
    </row>
    <row r="17" spans="1:12" ht="15.75">
      <c r="A17" s="2"/>
      <c r="B17" s="2"/>
      <c r="C17" s="2"/>
      <c r="D17" s="2"/>
      <c r="E17" s="2"/>
      <c r="F17" s="2"/>
      <c r="G17" s="2"/>
    </row>
    <row r="18" spans="1:12" ht="15.75">
      <c r="A18" s="2"/>
      <c r="B18" s="2"/>
      <c r="C18" s="2"/>
      <c r="D18" s="2"/>
      <c r="E18" s="2"/>
      <c r="F18" s="2"/>
      <c r="G18" s="2"/>
    </row>
    <row r="19" spans="1:12" ht="15.75">
      <c r="A19" s="2"/>
      <c r="B19" s="2"/>
      <c r="C19" s="2"/>
      <c r="D19" s="2"/>
      <c r="E19" s="2"/>
      <c r="F19" s="2"/>
      <c r="G19" s="2"/>
    </row>
    <row r="20" spans="1:12" ht="15.75">
      <c r="A20" s="2"/>
      <c r="B20" s="516" t="s">
        <v>375</v>
      </c>
      <c r="C20" s="2"/>
      <c r="D20" s="2"/>
      <c r="E20" s="2"/>
      <c r="F20" s="2"/>
      <c r="G20" s="2"/>
      <c r="I20" s="1061" t="s">
        <v>471</v>
      </c>
      <c r="J20" s="1061"/>
      <c r="K20" s="1061"/>
      <c r="L20" s="1061"/>
    </row>
    <row r="21" spans="1:12" ht="15.75">
      <c r="A21" s="2"/>
      <c r="B21" s="1060" t="s">
        <v>474</v>
      </c>
      <c r="C21" s="1060"/>
      <c r="D21" s="1060"/>
      <c r="E21" s="1060"/>
      <c r="F21" s="1060"/>
      <c r="G21" s="2"/>
      <c r="I21" s="1065" t="s">
        <v>891</v>
      </c>
      <c r="J21" s="1065"/>
      <c r="K21" s="1065"/>
      <c r="L21" s="1065"/>
    </row>
    <row r="22" spans="1:12" ht="15.75">
      <c r="A22" s="2"/>
      <c r="B22" s="1060"/>
      <c r="C22" s="1060"/>
      <c r="D22" s="1060"/>
      <c r="E22" s="1060"/>
      <c r="F22" s="1060"/>
      <c r="G22" s="2"/>
      <c r="I22" s="1065"/>
      <c r="J22" s="1065"/>
      <c r="K22" s="1065"/>
      <c r="L22" s="1065"/>
    </row>
    <row r="23" spans="1:12" ht="15.75">
      <c r="A23" s="2"/>
      <c r="B23" s="2" t="s">
        <v>467</v>
      </c>
      <c r="C23" s="2"/>
      <c r="D23" s="2"/>
      <c r="E23" s="2"/>
      <c r="F23" s="2"/>
      <c r="G23" s="2"/>
      <c r="I23" s="1065" t="s">
        <v>892</v>
      </c>
      <c r="J23" s="1065"/>
      <c r="K23" s="1065"/>
      <c r="L23" s="1065"/>
    </row>
    <row r="24" spans="1:12" ht="15.75">
      <c r="A24" s="2"/>
      <c r="B24" s="2" t="s">
        <v>377</v>
      </c>
      <c r="C24" s="2"/>
      <c r="D24" s="2"/>
      <c r="E24" s="2"/>
      <c r="F24" s="2"/>
      <c r="G24" s="2"/>
      <c r="I24" s="1065"/>
      <c r="J24" s="1065"/>
      <c r="K24" s="1065"/>
      <c r="L24" s="1065"/>
    </row>
    <row r="25" spans="1:12" ht="15.75">
      <c r="A25" s="2"/>
      <c r="B25" s="2" t="s">
        <v>378</v>
      </c>
      <c r="C25" s="2"/>
      <c r="D25" s="2"/>
      <c r="E25" s="2"/>
      <c r="F25" s="2"/>
      <c r="G25" s="2"/>
      <c r="I25" t="s">
        <v>472</v>
      </c>
    </row>
    <row r="26" spans="1:12" ht="15.75">
      <c r="A26" s="2"/>
      <c r="B26" s="1060" t="s">
        <v>468</v>
      </c>
      <c r="C26" s="1060"/>
      <c r="D26" s="1060"/>
      <c r="E26" s="1060"/>
      <c r="F26" s="1060"/>
      <c r="G26" s="2"/>
      <c r="I26" t="s">
        <v>473</v>
      </c>
    </row>
    <row r="27" spans="1:12" ht="15.75">
      <c r="A27" s="2"/>
      <c r="B27" s="1060"/>
      <c r="C27" s="1060"/>
      <c r="D27" s="1060"/>
      <c r="E27" s="1060"/>
      <c r="F27" s="1060"/>
      <c r="G27" s="2"/>
    </row>
    <row r="58" spans="2:13">
      <c r="I58" s="1060" t="s">
        <v>893</v>
      </c>
      <c r="J58" s="1060"/>
      <c r="K58" s="1060"/>
      <c r="L58" s="1060"/>
      <c r="M58" s="1060"/>
    </row>
    <row r="59" spans="2:13" ht="15" customHeight="1">
      <c r="B59" s="2" t="s">
        <v>894</v>
      </c>
      <c r="C59" s="2"/>
      <c r="D59" s="2"/>
      <c r="E59" s="2"/>
      <c r="F59" s="2"/>
      <c r="I59" s="1060"/>
      <c r="J59" s="1060"/>
      <c r="K59" s="1060"/>
      <c r="L59" s="1060"/>
      <c r="M59" s="1060"/>
    </row>
    <row r="60" spans="2:13" ht="15" customHeight="1">
      <c r="B60" s="2"/>
      <c r="C60" s="2"/>
      <c r="D60" s="2"/>
      <c r="E60" s="2"/>
      <c r="F60" s="2"/>
    </row>
  </sheetData>
  <mergeCells count="8">
    <mergeCell ref="I58:M59"/>
    <mergeCell ref="I20:L20"/>
    <mergeCell ref="B21:F22"/>
    <mergeCell ref="B26:F27"/>
    <mergeCell ref="A1:G1"/>
    <mergeCell ref="I7:L7"/>
    <mergeCell ref="I21:L22"/>
    <mergeCell ref="I23:L24"/>
  </mergeCells>
  <phoneticPr fontId="68" type="noConversion"/>
  <pageMargins left="0.7" right="0.7" top="0.75" bottom="0.75" header="0.3" footer="0.3"/>
  <pageSetup scale="6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E0E8-AEEB-4301-B16B-644612EFD6C9}">
  <dimension ref="A5:A39"/>
  <sheetViews>
    <sheetView topLeftCell="A6" workbookViewId="0">
      <selection activeCell="B11" sqref="B11"/>
    </sheetView>
  </sheetViews>
  <sheetFormatPr defaultColWidth="8.85546875" defaultRowHeight="15"/>
  <cols>
    <col min="1" max="1" width="15.42578125" bestFit="1" customWidth="1"/>
  </cols>
  <sheetData>
    <row r="5" spans="1:1">
      <c r="A5" t="s">
        <v>599</v>
      </c>
    </row>
    <row r="6" spans="1:1">
      <c r="A6" s="552" t="s">
        <v>600</v>
      </c>
    </row>
    <row r="7" spans="1:1">
      <c r="A7" s="552" t="s">
        <v>601</v>
      </c>
    </row>
    <row r="8" spans="1:1">
      <c r="A8" s="552" t="s">
        <v>602</v>
      </c>
    </row>
    <row r="9" spans="1:1">
      <c r="A9" s="552" t="s">
        <v>603</v>
      </c>
    </row>
    <row r="10" spans="1:1">
      <c r="A10" s="552" t="s">
        <v>604</v>
      </c>
    </row>
    <row r="11" spans="1:1">
      <c r="A11" s="552" t="s">
        <v>605</v>
      </c>
    </row>
    <row r="12" spans="1:1">
      <c r="A12" s="552" t="s">
        <v>606</v>
      </c>
    </row>
    <row r="13" spans="1:1">
      <c r="A13" s="552" t="s">
        <v>607</v>
      </c>
    </row>
    <row r="14" spans="1:1">
      <c r="A14" s="552" t="s">
        <v>608</v>
      </c>
    </row>
    <row r="15" spans="1:1">
      <c r="A15" s="552" t="s">
        <v>609</v>
      </c>
    </row>
    <row r="16" spans="1:1">
      <c r="A16" s="552" t="s">
        <v>610</v>
      </c>
    </row>
    <row r="17" spans="1:1">
      <c r="A17" s="552" t="s">
        <v>611</v>
      </c>
    </row>
    <row r="18" spans="1:1">
      <c r="A18" s="552" t="s">
        <v>612</v>
      </c>
    </row>
    <row r="19" spans="1:1">
      <c r="A19" s="552" t="s">
        <v>613</v>
      </c>
    </row>
    <row r="20" spans="1:1">
      <c r="A20" s="552" t="s">
        <v>614</v>
      </c>
    </row>
    <row r="21" spans="1:1">
      <c r="A21" s="552" t="s">
        <v>615</v>
      </c>
    </row>
    <row r="22" spans="1:1">
      <c r="A22" s="552" t="s">
        <v>616</v>
      </c>
    </row>
    <row r="23" spans="1:1">
      <c r="A23" s="552" t="s">
        <v>617</v>
      </c>
    </row>
    <row r="24" spans="1:1">
      <c r="A24" s="552" t="s">
        <v>618</v>
      </c>
    </row>
    <row r="25" spans="1:1">
      <c r="A25" s="552" t="s">
        <v>619</v>
      </c>
    </row>
    <row r="26" spans="1:1">
      <c r="A26" s="552" t="s">
        <v>620</v>
      </c>
    </row>
    <row r="27" spans="1:1">
      <c r="A27" s="552" t="s">
        <v>621</v>
      </c>
    </row>
    <row r="28" spans="1:1">
      <c r="A28" s="552" t="s">
        <v>622</v>
      </c>
    </row>
    <row r="29" spans="1:1">
      <c r="A29" s="552" t="s">
        <v>623</v>
      </c>
    </row>
    <row r="30" spans="1:1">
      <c r="A30" s="552" t="s">
        <v>624</v>
      </c>
    </row>
    <row r="31" spans="1:1">
      <c r="A31" s="552" t="s">
        <v>625</v>
      </c>
    </row>
    <row r="32" spans="1:1">
      <c r="A32" s="552" t="s">
        <v>626</v>
      </c>
    </row>
    <row r="33" spans="1:1">
      <c r="A33" s="552" t="s">
        <v>627</v>
      </c>
    </row>
    <row r="34" spans="1:1">
      <c r="A34" s="552" t="s">
        <v>628</v>
      </c>
    </row>
    <row r="35" spans="1:1">
      <c r="A35" s="552" t="s">
        <v>629</v>
      </c>
    </row>
    <row r="36" spans="1:1">
      <c r="A36" s="552" t="s">
        <v>630</v>
      </c>
    </row>
    <row r="37" spans="1:1">
      <c r="A37" s="552" t="s">
        <v>631</v>
      </c>
    </row>
    <row r="38" spans="1:1">
      <c r="A38" s="552" t="s">
        <v>632</v>
      </c>
    </row>
    <row r="39" spans="1:1">
      <c r="A39" s="552" t="s">
        <v>633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269"/>
  <sheetViews>
    <sheetView zoomScale="90" zoomScaleNormal="90" workbookViewId="0">
      <selection activeCell="H155" sqref="H155"/>
    </sheetView>
  </sheetViews>
  <sheetFormatPr defaultColWidth="8.85546875" defaultRowHeight="15"/>
  <cols>
    <col min="1" max="1" width="61.42578125" bestFit="1" customWidth="1"/>
    <col min="2" max="2" width="11.140625" bestFit="1" customWidth="1"/>
    <col min="4" max="4" width="11.140625" bestFit="1" customWidth="1"/>
    <col min="5" max="5" width="12.28515625" bestFit="1" customWidth="1"/>
    <col min="6" max="6" width="12.85546875" style="5" customWidth="1"/>
    <col min="7" max="7" width="2" bestFit="1" customWidth="1"/>
    <col min="8" max="8" width="11" bestFit="1" customWidth="1"/>
    <col min="9" max="9" width="9.42578125" bestFit="1" customWidth="1"/>
    <col min="10" max="10" width="6.85546875" bestFit="1" customWidth="1"/>
    <col min="11" max="11" width="9.28515625" bestFit="1" customWidth="1"/>
    <col min="12" max="12" width="9.7109375" bestFit="1" customWidth="1"/>
    <col min="13" max="13" width="11.28515625" bestFit="1" customWidth="1"/>
    <col min="14" max="14" width="7.42578125" bestFit="1" customWidth="1"/>
    <col min="15" max="15" width="13" bestFit="1" customWidth="1"/>
  </cols>
  <sheetData>
    <row r="1" spans="1:15">
      <c r="A1" s="4">
        <v>1</v>
      </c>
      <c r="B1" s="4">
        <v>2</v>
      </c>
      <c r="C1" s="4">
        <v>3</v>
      </c>
      <c r="D1" s="4">
        <v>4</v>
      </c>
      <c r="E1" s="4">
        <v>5</v>
      </c>
      <c r="F1" s="5" t="s">
        <v>169</v>
      </c>
    </row>
    <row r="2" spans="1:15" ht="18.75">
      <c r="A2" s="1053" t="s">
        <v>670</v>
      </c>
      <c r="B2" s="1053"/>
      <c r="C2" s="1053"/>
      <c r="D2" s="1053"/>
      <c r="E2" s="1053"/>
      <c r="F2" s="1053"/>
      <c r="I2" s="572" t="s">
        <v>493</v>
      </c>
      <c r="J2" s="572" t="s">
        <v>46</v>
      </c>
      <c r="K2" s="572" t="s">
        <v>49</v>
      </c>
      <c r="L2" s="572" t="s">
        <v>48</v>
      </c>
      <c r="M2" s="572" t="s">
        <v>47</v>
      </c>
      <c r="N2" s="572" t="s">
        <v>152</v>
      </c>
      <c r="O2" s="571" t="s">
        <v>153</v>
      </c>
    </row>
    <row r="3" spans="1:15" ht="15.75">
      <c r="A3" s="570" t="s">
        <v>46</v>
      </c>
      <c r="B3" s="570" t="s">
        <v>49</v>
      </c>
      <c r="C3" s="570" t="s">
        <v>48</v>
      </c>
      <c r="D3" s="570" t="s">
        <v>47</v>
      </c>
      <c r="E3" s="570" t="s">
        <v>152</v>
      </c>
      <c r="F3" s="571" t="s">
        <v>153</v>
      </c>
      <c r="I3" s="572"/>
      <c r="J3" s="573" t="s">
        <v>51</v>
      </c>
      <c r="K3" s="572" t="s">
        <v>52</v>
      </c>
      <c r="L3" s="574">
        <v>8</v>
      </c>
      <c r="M3" s="572" t="s">
        <v>53</v>
      </c>
      <c r="N3" s="572" t="s">
        <v>147</v>
      </c>
      <c r="O3" s="571">
        <v>4</v>
      </c>
    </row>
    <row r="4" spans="1:15" hidden="1">
      <c r="A4" t="s">
        <v>13</v>
      </c>
      <c r="C4">
        <v>1</v>
      </c>
      <c r="D4" t="s">
        <v>13</v>
      </c>
      <c r="E4" t="s">
        <v>13</v>
      </c>
      <c r="F4" s="4"/>
    </row>
    <row r="5" spans="1:15" hidden="1">
      <c r="A5" t="s">
        <v>148</v>
      </c>
      <c r="B5" t="s">
        <v>54</v>
      </c>
      <c r="C5" s="3">
        <v>1</v>
      </c>
      <c r="D5" t="s">
        <v>55</v>
      </c>
      <c r="F5" s="5">
        <v>2</v>
      </c>
    </row>
    <row r="6" spans="1:15" hidden="1">
      <c r="A6" t="s">
        <v>144</v>
      </c>
      <c r="B6" t="s">
        <v>50</v>
      </c>
      <c r="C6" s="3">
        <v>4</v>
      </c>
      <c r="D6" t="s">
        <v>53</v>
      </c>
      <c r="F6" s="5" t="s">
        <v>164</v>
      </c>
    </row>
    <row r="7" spans="1:15" hidden="1">
      <c r="A7" t="s">
        <v>671</v>
      </c>
      <c r="B7" t="s">
        <v>54</v>
      </c>
      <c r="C7" s="3">
        <v>1</v>
      </c>
      <c r="D7" t="s">
        <v>55</v>
      </c>
      <c r="F7" s="5">
        <v>14</v>
      </c>
    </row>
    <row r="8" spans="1:15" hidden="1">
      <c r="A8" t="s">
        <v>146</v>
      </c>
      <c r="B8" t="s">
        <v>52</v>
      </c>
      <c r="C8" s="3">
        <v>8</v>
      </c>
      <c r="D8" t="s">
        <v>53</v>
      </c>
      <c r="F8" s="5" t="s">
        <v>154</v>
      </c>
    </row>
    <row r="9" spans="1:15" hidden="1">
      <c r="A9" t="s">
        <v>145</v>
      </c>
      <c r="B9" t="s">
        <v>54</v>
      </c>
      <c r="C9" s="3">
        <v>128</v>
      </c>
      <c r="D9" t="s">
        <v>53</v>
      </c>
      <c r="F9" s="5" t="s">
        <v>165</v>
      </c>
    </row>
    <row r="10" spans="1:15" hidden="1">
      <c r="A10" t="s">
        <v>56</v>
      </c>
      <c r="B10" t="s">
        <v>54</v>
      </c>
      <c r="C10" s="3">
        <v>128</v>
      </c>
      <c r="D10" t="s">
        <v>55</v>
      </c>
      <c r="F10" s="5" t="s">
        <v>155</v>
      </c>
    </row>
    <row r="11" spans="1:15" hidden="1">
      <c r="A11" t="s">
        <v>672</v>
      </c>
      <c r="B11" t="s">
        <v>54</v>
      </c>
      <c r="C11" s="3">
        <v>128</v>
      </c>
      <c r="D11" t="s">
        <v>55</v>
      </c>
      <c r="F11" s="5">
        <v>27</v>
      </c>
    </row>
    <row r="12" spans="1:15" hidden="1">
      <c r="A12" t="s">
        <v>673</v>
      </c>
      <c r="B12" t="s">
        <v>54</v>
      </c>
      <c r="C12" s="3">
        <v>128</v>
      </c>
      <c r="D12" t="s">
        <v>53</v>
      </c>
      <c r="F12" s="5" t="s">
        <v>223</v>
      </c>
    </row>
    <row r="13" spans="1:15" hidden="1">
      <c r="A13" t="s">
        <v>674</v>
      </c>
      <c r="B13" t="s">
        <v>54</v>
      </c>
      <c r="C13" s="3">
        <v>128</v>
      </c>
      <c r="D13" t="s">
        <v>53</v>
      </c>
      <c r="F13" s="4"/>
    </row>
    <row r="14" spans="1:15" hidden="1">
      <c r="A14" t="s">
        <v>675</v>
      </c>
      <c r="B14" t="s">
        <v>57</v>
      </c>
      <c r="C14" s="3">
        <v>1</v>
      </c>
      <c r="D14" t="s">
        <v>29</v>
      </c>
      <c r="F14" s="5" t="s">
        <v>158</v>
      </c>
    </row>
    <row r="15" spans="1:15" hidden="1">
      <c r="A15" t="s">
        <v>676</v>
      </c>
      <c r="B15" t="s">
        <v>50</v>
      </c>
      <c r="C15" s="3">
        <v>4</v>
      </c>
      <c r="D15" t="s">
        <v>53</v>
      </c>
      <c r="F15" s="5" t="s">
        <v>158</v>
      </c>
    </row>
    <row r="16" spans="1:15" hidden="1">
      <c r="A16" t="s">
        <v>677</v>
      </c>
      <c r="B16" t="s">
        <v>57</v>
      </c>
      <c r="C16" s="3">
        <v>1</v>
      </c>
      <c r="D16" t="s">
        <v>29</v>
      </c>
      <c r="F16" s="4">
        <v>3</v>
      </c>
    </row>
    <row r="17" spans="1:6" hidden="1">
      <c r="A17" t="s">
        <v>678</v>
      </c>
      <c r="B17" t="s">
        <v>52</v>
      </c>
      <c r="C17" s="3">
        <v>8</v>
      </c>
      <c r="D17" t="s">
        <v>53</v>
      </c>
      <c r="F17" s="5">
        <v>4</v>
      </c>
    </row>
    <row r="18" spans="1:6" hidden="1">
      <c r="A18" t="s">
        <v>679</v>
      </c>
      <c r="B18" t="s">
        <v>52</v>
      </c>
      <c r="C18" s="3">
        <v>8</v>
      </c>
      <c r="D18" t="s">
        <v>53</v>
      </c>
      <c r="F18" s="5">
        <v>6</v>
      </c>
    </row>
    <row r="19" spans="1:6" hidden="1">
      <c r="A19" t="s">
        <v>149</v>
      </c>
      <c r="B19" t="s">
        <v>54</v>
      </c>
      <c r="C19" s="3">
        <v>1</v>
      </c>
      <c r="D19" t="s">
        <v>55</v>
      </c>
      <c r="F19" s="5">
        <v>2</v>
      </c>
    </row>
    <row r="20" spans="1:6" hidden="1">
      <c r="A20" t="s">
        <v>680</v>
      </c>
      <c r="B20" t="s">
        <v>52</v>
      </c>
      <c r="C20" s="3">
        <v>8</v>
      </c>
      <c r="D20" t="s">
        <v>53</v>
      </c>
      <c r="F20" s="4"/>
    </row>
    <row r="21" spans="1:6" hidden="1">
      <c r="A21" t="s">
        <v>681</v>
      </c>
      <c r="B21" t="s">
        <v>50</v>
      </c>
      <c r="C21" s="3">
        <v>4</v>
      </c>
      <c r="D21" t="s">
        <v>53</v>
      </c>
      <c r="F21" s="5" t="s">
        <v>166</v>
      </c>
    </row>
    <row r="22" spans="1:6" hidden="1">
      <c r="A22" t="s">
        <v>682</v>
      </c>
      <c r="B22" t="s">
        <v>52</v>
      </c>
      <c r="C22" s="3">
        <v>8</v>
      </c>
      <c r="D22" t="s">
        <v>53</v>
      </c>
      <c r="F22" s="4">
        <v>15</v>
      </c>
    </row>
    <row r="23" spans="1:6" hidden="1">
      <c r="A23" t="s">
        <v>683</v>
      </c>
      <c r="B23" t="s">
        <v>50</v>
      </c>
      <c r="C23" s="3">
        <v>4</v>
      </c>
      <c r="D23" t="s">
        <v>53</v>
      </c>
      <c r="F23" s="5" t="s">
        <v>166</v>
      </c>
    </row>
    <row r="24" spans="1:6" hidden="1">
      <c r="A24" t="s">
        <v>58</v>
      </c>
      <c r="B24" t="s">
        <v>54</v>
      </c>
      <c r="C24" s="3">
        <v>128</v>
      </c>
      <c r="D24" t="s">
        <v>59</v>
      </c>
      <c r="F24" s="5">
        <v>14</v>
      </c>
    </row>
    <row r="25" spans="1:6" hidden="1">
      <c r="A25" t="s">
        <v>143</v>
      </c>
      <c r="B25" t="s">
        <v>54</v>
      </c>
      <c r="C25" s="3">
        <v>128</v>
      </c>
      <c r="D25" t="s">
        <v>53</v>
      </c>
      <c r="F25" s="5" t="s">
        <v>159</v>
      </c>
    </row>
    <row r="26" spans="1:6" hidden="1">
      <c r="A26" t="s">
        <v>684</v>
      </c>
      <c r="B26" t="s">
        <v>54</v>
      </c>
      <c r="C26" s="3">
        <v>128</v>
      </c>
      <c r="D26" t="s">
        <v>53</v>
      </c>
      <c r="F26" s="5" t="s">
        <v>156</v>
      </c>
    </row>
    <row r="27" spans="1:6" hidden="1">
      <c r="A27" t="s">
        <v>685</v>
      </c>
      <c r="B27" t="s">
        <v>52</v>
      </c>
      <c r="C27" s="3">
        <v>8</v>
      </c>
      <c r="D27" t="s">
        <v>53</v>
      </c>
      <c r="F27" s="4">
        <v>5</v>
      </c>
    </row>
    <row r="28" spans="1:6" hidden="1">
      <c r="A28" t="s">
        <v>686</v>
      </c>
      <c r="B28" t="s">
        <v>54</v>
      </c>
      <c r="C28" s="3">
        <v>128</v>
      </c>
      <c r="D28" t="s">
        <v>53</v>
      </c>
      <c r="F28" s="5" t="s">
        <v>213</v>
      </c>
    </row>
    <row r="29" spans="1:6" hidden="1">
      <c r="A29" t="s">
        <v>687</v>
      </c>
      <c r="B29" t="s">
        <v>57</v>
      </c>
      <c r="C29" s="3">
        <v>1</v>
      </c>
      <c r="D29" t="s">
        <v>29</v>
      </c>
      <c r="F29" s="4">
        <v>20</v>
      </c>
    </row>
    <row r="30" spans="1:6" hidden="1">
      <c r="A30" t="s">
        <v>688</v>
      </c>
      <c r="B30" t="s">
        <v>54</v>
      </c>
      <c r="C30" s="3">
        <v>1</v>
      </c>
      <c r="D30" t="s">
        <v>29</v>
      </c>
      <c r="F30" s="4">
        <v>14</v>
      </c>
    </row>
    <row r="31" spans="1:6" hidden="1">
      <c r="A31" t="s">
        <v>689</v>
      </c>
      <c r="B31" t="s">
        <v>54</v>
      </c>
      <c r="C31" s="3">
        <v>128</v>
      </c>
      <c r="D31" t="s">
        <v>53</v>
      </c>
      <c r="F31" s="4">
        <v>1</v>
      </c>
    </row>
    <row r="32" spans="1:6" hidden="1">
      <c r="A32" t="s">
        <v>690</v>
      </c>
      <c r="B32" t="s">
        <v>52</v>
      </c>
      <c r="C32" s="3">
        <v>8</v>
      </c>
      <c r="D32" t="s">
        <v>53</v>
      </c>
      <c r="F32" s="5" t="s">
        <v>166</v>
      </c>
    </row>
    <row r="33" spans="1:6" hidden="1">
      <c r="A33" t="s">
        <v>691</v>
      </c>
      <c r="B33" t="s">
        <v>52</v>
      </c>
      <c r="C33" s="3">
        <v>8</v>
      </c>
      <c r="D33" t="s">
        <v>53</v>
      </c>
      <c r="F33" s="4">
        <v>3</v>
      </c>
    </row>
    <row r="34" spans="1:6" hidden="1">
      <c r="A34" t="s">
        <v>692</v>
      </c>
      <c r="B34" t="s">
        <v>52</v>
      </c>
      <c r="C34" s="3">
        <v>8</v>
      </c>
      <c r="D34" t="s">
        <v>53</v>
      </c>
      <c r="F34" s="4">
        <v>3</v>
      </c>
    </row>
    <row r="35" spans="1:6" hidden="1">
      <c r="A35" t="s">
        <v>693</v>
      </c>
      <c r="B35" t="s">
        <v>50</v>
      </c>
      <c r="C35" s="3">
        <v>4</v>
      </c>
      <c r="D35" t="s">
        <v>53</v>
      </c>
    </row>
    <row r="36" spans="1:6" hidden="1">
      <c r="A36" t="s">
        <v>694</v>
      </c>
      <c r="B36" t="s">
        <v>50</v>
      </c>
      <c r="C36" s="3">
        <v>4</v>
      </c>
      <c r="D36" t="s">
        <v>53</v>
      </c>
      <c r="F36" s="5" t="s">
        <v>166</v>
      </c>
    </row>
    <row r="37" spans="1:6" hidden="1">
      <c r="A37" t="s">
        <v>695</v>
      </c>
      <c r="B37" t="s">
        <v>57</v>
      </c>
      <c r="C37" s="3">
        <v>1</v>
      </c>
      <c r="D37" t="s">
        <v>29</v>
      </c>
      <c r="F37" s="4">
        <v>15</v>
      </c>
    </row>
    <row r="38" spans="1:6" hidden="1">
      <c r="A38" t="s">
        <v>696</v>
      </c>
      <c r="B38" t="s">
        <v>50</v>
      </c>
      <c r="C38" s="3">
        <v>4</v>
      </c>
      <c r="D38" t="s">
        <v>53</v>
      </c>
      <c r="F38" s="5" t="s">
        <v>214</v>
      </c>
    </row>
    <row r="39" spans="1:6" hidden="1">
      <c r="A39" t="s">
        <v>697</v>
      </c>
      <c r="B39" t="s">
        <v>15</v>
      </c>
      <c r="C39" s="3">
        <v>1</v>
      </c>
      <c r="D39" t="s">
        <v>53</v>
      </c>
    </row>
    <row r="40" spans="1:6" hidden="1">
      <c r="A40" t="s">
        <v>698</v>
      </c>
      <c r="B40" t="s">
        <v>50</v>
      </c>
      <c r="C40" s="3">
        <v>4</v>
      </c>
      <c r="D40" t="s">
        <v>53</v>
      </c>
      <c r="F40" s="5" t="s">
        <v>160</v>
      </c>
    </row>
    <row r="41" spans="1:6" hidden="1">
      <c r="A41" t="s">
        <v>699</v>
      </c>
      <c r="B41" t="s">
        <v>52</v>
      </c>
      <c r="C41" s="3">
        <v>8</v>
      </c>
      <c r="D41" t="s">
        <v>53</v>
      </c>
      <c r="F41" s="5" t="s">
        <v>160</v>
      </c>
    </row>
    <row r="42" spans="1:6" hidden="1">
      <c r="A42" t="s">
        <v>700</v>
      </c>
      <c r="B42" t="s">
        <v>52</v>
      </c>
      <c r="C42" s="3">
        <v>8</v>
      </c>
      <c r="D42" t="s">
        <v>53</v>
      </c>
      <c r="F42" s="4">
        <v>8</v>
      </c>
    </row>
    <row r="43" spans="1:6" hidden="1">
      <c r="A43" t="s">
        <v>701</v>
      </c>
      <c r="B43" t="s">
        <v>54</v>
      </c>
      <c r="C43" s="3">
        <v>128</v>
      </c>
      <c r="D43" t="s">
        <v>53</v>
      </c>
    </row>
    <row r="44" spans="1:6" hidden="1">
      <c r="A44" t="s">
        <v>702</v>
      </c>
      <c r="B44" t="s">
        <v>52</v>
      </c>
      <c r="C44" s="3">
        <v>8</v>
      </c>
      <c r="D44" t="s">
        <v>53</v>
      </c>
      <c r="F44" s="5" t="s">
        <v>703</v>
      </c>
    </row>
    <row r="45" spans="1:6" hidden="1">
      <c r="A45" t="s">
        <v>704</v>
      </c>
      <c r="B45" t="s">
        <v>52</v>
      </c>
      <c r="C45" s="3">
        <v>8</v>
      </c>
      <c r="D45" t="s">
        <v>53</v>
      </c>
      <c r="F45" s="4">
        <v>4</v>
      </c>
    </row>
    <row r="46" spans="1:6" hidden="1">
      <c r="A46" t="s">
        <v>218</v>
      </c>
      <c r="B46" t="s">
        <v>54</v>
      </c>
      <c r="C46" s="3">
        <v>128</v>
      </c>
      <c r="D46" t="s">
        <v>53</v>
      </c>
      <c r="F46" s="5" t="s">
        <v>223</v>
      </c>
    </row>
    <row r="47" spans="1:6" hidden="1">
      <c r="A47" t="s">
        <v>705</v>
      </c>
      <c r="B47" t="s">
        <v>52</v>
      </c>
      <c r="C47" s="3">
        <v>8</v>
      </c>
      <c r="D47" t="s">
        <v>53</v>
      </c>
      <c r="F47" s="5" t="s">
        <v>163</v>
      </c>
    </row>
    <row r="48" spans="1:6" hidden="1">
      <c r="A48" t="s">
        <v>706</v>
      </c>
      <c r="B48" t="s">
        <v>54</v>
      </c>
      <c r="C48" s="3">
        <v>128</v>
      </c>
      <c r="D48" t="s">
        <v>53</v>
      </c>
    </row>
    <row r="49" spans="1:6" hidden="1">
      <c r="A49" t="s">
        <v>748</v>
      </c>
      <c r="B49" t="s">
        <v>54</v>
      </c>
      <c r="C49" s="3">
        <v>128</v>
      </c>
      <c r="D49" t="s">
        <v>53</v>
      </c>
      <c r="F49" s="5">
        <v>9</v>
      </c>
    </row>
    <row r="50" spans="1:6" hidden="1">
      <c r="A50" t="s">
        <v>707</v>
      </c>
      <c r="B50" t="s">
        <v>54</v>
      </c>
      <c r="C50" s="3">
        <v>128</v>
      </c>
      <c r="D50" t="s">
        <v>53</v>
      </c>
    </row>
    <row r="51" spans="1:6" hidden="1">
      <c r="A51" t="s">
        <v>708</v>
      </c>
      <c r="B51" t="s">
        <v>57</v>
      </c>
      <c r="C51" s="3">
        <v>1</v>
      </c>
      <c r="D51" t="s">
        <v>29</v>
      </c>
      <c r="F51" s="5" t="s">
        <v>158</v>
      </c>
    </row>
    <row r="52" spans="1:6" hidden="1">
      <c r="A52" t="s">
        <v>709</v>
      </c>
      <c r="B52" t="s">
        <v>52</v>
      </c>
      <c r="C52" s="3">
        <v>8</v>
      </c>
      <c r="D52" t="s">
        <v>53</v>
      </c>
      <c r="F52" s="4">
        <v>3</v>
      </c>
    </row>
    <row r="53" spans="1:6" hidden="1">
      <c r="A53" t="s">
        <v>150</v>
      </c>
      <c r="B53" t="s">
        <v>54</v>
      </c>
      <c r="C53" s="3">
        <v>1</v>
      </c>
      <c r="D53" t="s">
        <v>55</v>
      </c>
      <c r="F53" s="5">
        <v>27</v>
      </c>
    </row>
    <row r="54" spans="1:6" hidden="1">
      <c r="A54" t="s">
        <v>710</v>
      </c>
      <c r="B54" t="s">
        <v>54</v>
      </c>
      <c r="C54" s="3">
        <v>1</v>
      </c>
      <c r="D54" t="s">
        <v>29</v>
      </c>
      <c r="F54" s="5" t="s">
        <v>162</v>
      </c>
    </row>
    <row r="55" spans="1:6" hidden="1">
      <c r="A55" t="s">
        <v>711</v>
      </c>
      <c r="B55" t="s">
        <v>50</v>
      </c>
      <c r="C55" s="3">
        <v>4</v>
      </c>
      <c r="D55" t="s">
        <v>53</v>
      </c>
      <c r="F55" s="5" t="s">
        <v>167</v>
      </c>
    </row>
    <row r="56" spans="1:6" hidden="1">
      <c r="A56" t="s">
        <v>712</v>
      </c>
      <c r="B56" t="s">
        <v>54</v>
      </c>
      <c r="C56" s="3">
        <v>128</v>
      </c>
      <c r="D56" t="s">
        <v>53</v>
      </c>
      <c r="F56" s="5">
        <v>10</v>
      </c>
    </row>
    <row r="57" spans="1:6" hidden="1">
      <c r="A57" t="s">
        <v>713</v>
      </c>
      <c r="B57" t="s">
        <v>57</v>
      </c>
      <c r="C57" s="3">
        <v>1</v>
      </c>
      <c r="D57" t="s">
        <v>29</v>
      </c>
      <c r="F57" s="5" t="s">
        <v>214</v>
      </c>
    </row>
    <row r="58" spans="1:6" hidden="1">
      <c r="A58" t="s">
        <v>714</v>
      </c>
      <c r="B58" t="s">
        <v>54</v>
      </c>
      <c r="C58" s="3">
        <v>1</v>
      </c>
      <c r="D58" t="s">
        <v>29</v>
      </c>
      <c r="F58" s="5" t="s">
        <v>162</v>
      </c>
    </row>
    <row r="59" spans="1:6" hidden="1">
      <c r="A59" t="s">
        <v>715</v>
      </c>
      <c r="B59" t="s">
        <v>52</v>
      </c>
      <c r="C59" s="3">
        <v>8</v>
      </c>
      <c r="D59" t="s">
        <v>53</v>
      </c>
      <c r="F59" s="5" t="s">
        <v>169</v>
      </c>
    </row>
    <row r="60" spans="1:6" hidden="1">
      <c r="A60" t="s">
        <v>129</v>
      </c>
      <c r="B60" t="s">
        <v>54</v>
      </c>
      <c r="C60" s="3">
        <v>1</v>
      </c>
      <c r="D60" t="s">
        <v>29</v>
      </c>
      <c r="F60" s="5" t="s">
        <v>716</v>
      </c>
    </row>
    <row r="61" spans="1:6" hidden="1">
      <c r="A61" t="s">
        <v>717</v>
      </c>
      <c r="B61" t="s">
        <v>54</v>
      </c>
      <c r="C61" s="3">
        <v>128</v>
      </c>
      <c r="D61" t="s">
        <v>53</v>
      </c>
      <c r="F61" s="5" t="s">
        <v>162</v>
      </c>
    </row>
    <row r="62" spans="1:6" hidden="1">
      <c r="A62" t="s">
        <v>60</v>
      </c>
      <c r="B62" t="s">
        <v>54</v>
      </c>
      <c r="C62" s="3">
        <v>128</v>
      </c>
      <c r="D62" t="s">
        <v>53</v>
      </c>
      <c r="F62" s="5" t="s">
        <v>160</v>
      </c>
    </row>
    <row r="63" spans="1:6" hidden="1">
      <c r="A63" t="s">
        <v>718</v>
      </c>
      <c r="B63" t="s">
        <v>54</v>
      </c>
      <c r="C63" s="3">
        <v>16</v>
      </c>
      <c r="D63" t="s">
        <v>29</v>
      </c>
      <c r="F63" s="5">
        <v>2</v>
      </c>
    </row>
    <row r="64" spans="1:6" hidden="1">
      <c r="A64" t="s">
        <v>719</v>
      </c>
      <c r="B64" t="s">
        <v>52</v>
      </c>
      <c r="C64" s="3">
        <v>8</v>
      </c>
      <c r="D64" t="s">
        <v>53</v>
      </c>
      <c r="F64" s="4">
        <v>1</v>
      </c>
    </row>
    <row r="65" spans="1:6" hidden="1">
      <c r="A65" t="s">
        <v>720</v>
      </c>
      <c r="B65" t="s">
        <v>50</v>
      </c>
      <c r="C65" s="3">
        <v>4</v>
      </c>
      <c r="D65" t="s">
        <v>53</v>
      </c>
      <c r="F65" s="4">
        <v>8</v>
      </c>
    </row>
    <row r="66" spans="1:6" hidden="1">
      <c r="A66" t="s">
        <v>721</v>
      </c>
      <c r="B66" t="s">
        <v>52</v>
      </c>
      <c r="C66" s="3">
        <v>8</v>
      </c>
      <c r="D66" t="s">
        <v>53</v>
      </c>
      <c r="F66" s="5" t="s">
        <v>161</v>
      </c>
    </row>
    <row r="67" spans="1:6" hidden="1">
      <c r="A67" t="s">
        <v>219</v>
      </c>
      <c r="B67" t="s">
        <v>54</v>
      </c>
      <c r="C67" s="3">
        <v>128</v>
      </c>
      <c r="D67" t="s">
        <v>53</v>
      </c>
      <c r="F67" s="5" t="s">
        <v>162</v>
      </c>
    </row>
    <row r="68" spans="1:6" hidden="1">
      <c r="A68" t="s">
        <v>722</v>
      </c>
      <c r="B68" t="s">
        <v>54</v>
      </c>
      <c r="C68" s="3">
        <v>128</v>
      </c>
      <c r="D68" t="s">
        <v>53</v>
      </c>
      <c r="F68" s="5" t="s">
        <v>723</v>
      </c>
    </row>
    <row r="69" spans="1:6" hidden="1">
      <c r="A69" t="s">
        <v>220</v>
      </c>
      <c r="B69" t="s">
        <v>54</v>
      </c>
      <c r="C69" s="3">
        <v>128</v>
      </c>
      <c r="D69" t="s">
        <v>53</v>
      </c>
      <c r="F69" s="5" t="s">
        <v>162</v>
      </c>
    </row>
    <row r="70" spans="1:6" hidden="1">
      <c r="A70" t="s">
        <v>130</v>
      </c>
      <c r="B70" t="s">
        <v>52</v>
      </c>
      <c r="C70" s="3">
        <v>8</v>
      </c>
      <c r="D70" t="s">
        <v>53</v>
      </c>
      <c r="F70" s="5" t="s">
        <v>163</v>
      </c>
    </row>
    <row r="71" spans="1:6" hidden="1">
      <c r="A71" t="s">
        <v>724</v>
      </c>
      <c r="B71" t="s">
        <v>52</v>
      </c>
      <c r="C71" s="3">
        <v>8</v>
      </c>
      <c r="D71" t="s">
        <v>53</v>
      </c>
      <c r="F71" s="5" t="s">
        <v>703</v>
      </c>
    </row>
    <row r="72" spans="1:6" hidden="1">
      <c r="A72" t="s">
        <v>151</v>
      </c>
      <c r="B72" t="s">
        <v>54</v>
      </c>
      <c r="C72" s="3">
        <v>128</v>
      </c>
      <c r="D72" t="s">
        <v>53</v>
      </c>
      <c r="F72" s="5" t="s">
        <v>157</v>
      </c>
    </row>
    <row r="73" spans="1:6" hidden="1">
      <c r="A73" t="s">
        <v>725</v>
      </c>
      <c r="B73" t="s">
        <v>52</v>
      </c>
      <c r="C73" s="3">
        <v>8</v>
      </c>
      <c r="D73" t="s">
        <v>53</v>
      </c>
      <c r="F73" s="5" t="s">
        <v>169</v>
      </c>
    </row>
    <row r="74" spans="1:6" hidden="1">
      <c r="A74" t="s">
        <v>726</v>
      </c>
      <c r="B74" t="s">
        <v>52</v>
      </c>
      <c r="C74" s="3">
        <v>8</v>
      </c>
      <c r="D74" t="s">
        <v>53</v>
      </c>
      <c r="F74" s="5" t="s">
        <v>223</v>
      </c>
    </row>
    <row r="75" spans="1:6" hidden="1">
      <c r="A75" t="s">
        <v>727</v>
      </c>
      <c r="B75" t="s">
        <v>52</v>
      </c>
      <c r="C75" s="3">
        <v>8</v>
      </c>
      <c r="D75" t="s">
        <v>53</v>
      </c>
      <c r="F75" s="5" t="s">
        <v>728</v>
      </c>
    </row>
    <row r="76" spans="1:6" hidden="1">
      <c r="A76" t="s">
        <v>729</v>
      </c>
      <c r="B76" t="s">
        <v>54</v>
      </c>
      <c r="C76" s="3">
        <v>128</v>
      </c>
      <c r="D76" t="s">
        <v>53</v>
      </c>
      <c r="F76" s="5" t="s">
        <v>730</v>
      </c>
    </row>
    <row r="77" spans="1:6" hidden="1">
      <c r="A77" t="s">
        <v>61</v>
      </c>
      <c r="B77" t="s">
        <v>54</v>
      </c>
      <c r="C77" s="3">
        <v>128</v>
      </c>
      <c r="D77" t="s">
        <v>53</v>
      </c>
      <c r="F77" s="5" t="s">
        <v>163</v>
      </c>
    </row>
    <row r="78" spans="1:6" hidden="1">
      <c r="A78" t="s">
        <v>731</v>
      </c>
      <c r="B78" t="s">
        <v>54</v>
      </c>
      <c r="C78" s="3">
        <v>128</v>
      </c>
      <c r="D78" t="s">
        <v>53</v>
      </c>
      <c r="F78" s="5" t="s">
        <v>159</v>
      </c>
    </row>
    <row r="79" spans="1:6" hidden="1">
      <c r="A79" t="s">
        <v>732</v>
      </c>
      <c r="B79" t="s">
        <v>54</v>
      </c>
      <c r="C79" s="3">
        <v>128</v>
      </c>
      <c r="D79" t="s">
        <v>53</v>
      </c>
      <c r="F79" s="5" t="s">
        <v>733</v>
      </c>
    </row>
    <row r="80" spans="1:6" hidden="1">
      <c r="A80" t="s">
        <v>734</v>
      </c>
      <c r="B80" t="s">
        <v>57</v>
      </c>
      <c r="C80" s="3">
        <v>1</v>
      </c>
      <c r="D80" t="s">
        <v>29</v>
      </c>
      <c r="F80" s="5" t="s">
        <v>158</v>
      </c>
    </row>
    <row r="81" spans="1:6" hidden="1">
      <c r="A81" t="s">
        <v>735</v>
      </c>
      <c r="B81" t="s">
        <v>57</v>
      </c>
      <c r="C81" s="3">
        <v>1</v>
      </c>
      <c r="D81" t="s">
        <v>29</v>
      </c>
      <c r="F81" s="5" t="s">
        <v>736</v>
      </c>
    </row>
    <row r="82" spans="1:6" hidden="1">
      <c r="A82" t="s">
        <v>737</v>
      </c>
      <c r="B82" t="s">
        <v>54</v>
      </c>
      <c r="C82">
        <v>128</v>
      </c>
      <c r="D82" t="s">
        <v>53</v>
      </c>
      <c r="F82" s="5" t="s">
        <v>163</v>
      </c>
    </row>
    <row r="83" spans="1:6" hidden="1">
      <c r="A83" t="s">
        <v>738</v>
      </c>
      <c r="B83" t="s">
        <v>54</v>
      </c>
      <c r="C83" s="3">
        <v>128</v>
      </c>
      <c r="D83" t="s">
        <v>53</v>
      </c>
      <c r="F83" s="5" t="s">
        <v>215</v>
      </c>
    </row>
    <row r="84" spans="1:6" hidden="1">
      <c r="A84" t="s">
        <v>216</v>
      </c>
      <c r="B84" t="s">
        <v>54</v>
      </c>
      <c r="C84">
        <v>128</v>
      </c>
      <c r="D84" t="s">
        <v>53</v>
      </c>
      <c r="F84" s="5" t="s">
        <v>217</v>
      </c>
    </row>
    <row r="85" spans="1:6" hidden="1">
      <c r="A85" t="s">
        <v>739</v>
      </c>
      <c r="B85" t="s">
        <v>52</v>
      </c>
      <c r="C85" s="3">
        <v>8</v>
      </c>
      <c r="D85" t="s">
        <v>53</v>
      </c>
      <c r="F85" s="5" t="s">
        <v>158</v>
      </c>
    </row>
    <row r="86" spans="1:6" hidden="1">
      <c r="A86" t="s">
        <v>740</v>
      </c>
      <c r="B86" t="s">
        <v>54</v>
      </c>
      <c r="C86" s="3">
        <v>128</v>
      </c>
      <c r="D86" t="s">
        <v>53</v>
      </c>
      <c r="F86" s="5">
        <v>4</v>
      </c>
    </row>
    <row r="87" spans="1:6" hidden="1">
      <c r="A87" t="s">
        <v>222</v>
      </c>
      <c r="B87" t="s">
        <v>52</v>
      </c>
      <c r="C87" s="3">
        <v>8</v>
      </c>
      <c r="D87" t="s">
        <v>53</v>
      </c>
      <c r="F87" s="5" t="s">
        <v>168</v>
      </c>
    </row>
    <row r="88" spans="1:6" hidden="1">
      <c r="A88" t="s">
        <v>741</v>
      </c>
      <c r="B88" t="s">
        <v>52</v>
      </c>
      <c r="C88" s="3">
        <v>8</v>
      </c>
      <c r="D88" t="s">
        <v>53</v>
      </c>
      <c r="F88" s="5" t="s">
        <v>742</v>
      </c>
    </row>
    <row r="89" spans="1:6" hidden="1">
      <c r="A89" t="s">
        <v>743</v>
      </c>
      <c r="B89" t="s">
        <v>52</v>
      </c>
      <c r="C89" s="3">
        <v>8</v>
      </c>
      <c r="D89" t="s">
        <v>53</v>
      </c>
      <c r="F89" s="5" t="s">
        <v>168</v>
      </c>
    </row>
    <row r="90" spans="1:6" hidden="1">
      <c r="A90" t="s">
        <v>744</v>
      </c>
      <c r="B90" t="s">
        <v>52</v>
      </c>
      <c r="C90" s="3">
        <v>8</v>
      </c>
      <c r="D90" t="s">
        <v>53</v>
      </c>
      <c r="F90" s="5" t="s">
        <v>161</v>
      </c>
    </row>
    <row r="91" spans="1:6" hidden="1">
      <c r="A91" t="s">
        <v>745</v>
      </c>
      <c r="B91" t="s">
        <v>54</v>
      </c>
      <c r="C91" s="3">
        <v>1</v>
      </c>
      <c r="D91" t="s">
        <v>29</v>
      </c>
      <c r="F91" s="5" t="s">
        <v>158</v>
      </c>
    </row>
    <row r="92" spans="1:6" hidden="1">
      <c r="A92" t="s">
        <v>221</v>
      </c>
      <c r="B92" t="s">
        <v>52</v>
      </c>
      <c r="C92" s="3">
        <v>8</v>
      </c>
      <c r="D92" t="s">
        <v>53</v>
      </c>
      <c r="F92" s="5" t="s">
        <v>163</v>
      </c>
    </row>
    <row r="93" spans="1:6" hidden="1">
      <c r="A93" t="s">
        <v>746</v>
      </c>
      <c r="B93" t="s">
        <v>54</v>
      </c>
      <c r="C93" s="3">
        <v>128</v>
      </c>
      <c r="D93" t="s">
        <v>53</v>
      </c>
      <c r="F93" s="5" t="s">
        <v>163</v>
      </c>
    </row>
    <row r="94" spans="1:6">
      <c r="A94" t="s">
        <v>62</v>
      </c>
      <c r="B94" t="s">
        <v>54</v>
      </c>
      <c r="C94" s="3">
        <v>1</v>
      </c>
      <c r="D94" t="s">
        <v>53</v>
      </c>
      <c r="F94" s="5" t="s">
        <v>160</v>
      </c>
    </row>
    <row r="95" spans="1:6" ht="15.75">
      <c r="A95" s="567" t="s">
        <v>483</v>
      </c>
      <c r="B95" s="567" t="s">
        <v>483</v>
      </c>
      <c r="C95" s="568">
        <v>0</v>
      </c>
      <c r="D95" s="567" t="s">
        <v>483</v>
      </c>
      <c r="E95" s="567" t="s">
        <v>483</v>
      </c>
      <c r="F95" s="568">
        <v>0</v>
      </c>
    </row>
    <row r="96" spans="1:6" ht="15.75">
      <c r="A96" s="567" t="s">
        <v>483</v>
      </c>
      <c r="B96" s="567" t="s">
        <v>483</v>
      </c>
      <c r="C96" s="568">
        <v>0</v>
      </c>
      <c r="D96" s="567" t="s">
        <v>483</v>
      </c>
      <c r="E96" s="567" t="s">
        <v>483</v>
      </c>
      <c r="F96" s="568">
        <v>0</v>
      </c>
    </row>
    <row r="97" spans="1:6" ht="15.75">
      <c r="A97" s="567" t="s">
        <v>483</v>
      </c>
      <c r="B97" s="567" t="s">
        <v>483</v>
      </c>
      <c r="C97" s="568">
        <v>0</v>
      </c>
      <c r="D97" s="567" t="s">
        <v>483</v>
      </c>
      <c r="E97" s="567" t="s">
        <v>483</v>
      </c>
      <c r="F97" s="568">
        <v>0</v>
      </c>
    </row>
    <row r="98" spans="1:6" ht="15.75">
      <c r="A98" s="567" t="s">
        <v>483</v>
      </c>
      <c r="B98" s="567" t="s">
        <v>483</v>
      </c>
      <c r="C98" s="568">
        <v>0</v>
      </c>
      <c r="D98" s="567" t="s">
        <v>483</v>
      </c>
      <c r="E98" s="567" t="s">
        <v>483</v>
      </c>
      <c r="F98" s="568">
        <v>0</v>
      </c>
    </row>
    <row r="99" spans="1:6" ht="15.75">
      <c r="A99" s="2"/>
      <c r="C99" s="3"/>
    </row>
    <row r="100" spans="1:6" ht="15.75">
      <c r="A100" s="2"/>
      <c r="C100" s="3"/>
    </row>
    <row r="101" spans="1:6" ht="21">
      <c r="A101" s="956" t="s">
        <v>131</v>
      </c>
      <c r="B101" s="956"/>
      <c r="C101" s="956"/>
      <c r="D101" s="956"/>
    </row>
    <row r="102" spans="1:6" ht="15" customHeight="1">
      <c r="A102" s="576" t="s">
        <v>46</v>
      </c>
      <c r="B102" s="570" t="s">
        <v>49</v>
      </c>
      <c r="C102" s="570" t="s">
        <v>48</v>
      </c>
      <c r="D102" s="570" t="s">
        <v>47</v>
      </c>
    </row>
    <row r="103" spans="1:6" hidden="1">
      <c r="A103" t="s">
        <v>13</v>
      </c>
      <c r="C103">
        <v>1</v>
      </c>
      <c r="D103" t="s">
        <v>13</v>
      </c>
    </row>
    <row r="104" spans="1:6" ht="15.75">
      <c r="A104" s="2" t="s">
        <v>63</v>
      </c>
      <c r="B104" t="s">
        <v>57</v>
      </c>
      <c r="C104" s="3">
        <v>1</v>
      </c>
      <c r="D104" t="s">
        <v>29</v>
      </c>
    </row>
    <row r="105" spans="1:6" ht="15.75">
      <c r="A105" s="2" t="s">
        <v>132</v>
      </c>
      <c r="B105" t="s">
        <v>52</v>
      </c>
      <c r="C105" s="3">
        <v>8</v>
      </c>
      <c r="D105" t="s">
        <v>53</v>
      </c>
    </row>
    <row r="106" spans="1:6" ht="15.75" hidden="1">
      <c r="A106" s="2" t="s">
        <v>133</v>
      </c>
      <c r="B106" t="s">
        <v>52</v>
      </c>
      <c r="C106" s="3">
        <v>8</v>
      </c>
      <c r="D106" t="s">
        <v>53</v>
      </c>
    </row>
    <row r="107" spans="1:6" ht="15.75" hidden="1">
      <c r="A107" s="2" t="s">
        <v>135</v>
      </c>
      <c r="B107" t="s">
        <v>52</v>
      </c>
      <c r="C107" s="3">
        <v>8</v>
      </c>
      <c r="D107" t="s">
        <v>53</v>
      </c>
    </row>
    <row r="108" spans="1:6" ht="15.75" hidden="1">
      <c r="A108" s="2" t="s">
        <v>136</v>
      </c>
      <c r="B108" t="s">
        <v>54</v>
      </c>
      <c r="C108" s="3">
        <v>128</v>
      </c>
      <c r="D108" t="s">
        <v>53</v>
      </c>
    </row>
    <row r="109" spans="1:6" ht="15.75" hidden="1">
      <c r="A109" s="2" t="s">
        <v>134</v>
      </c>
      <c r="B109" t="s">
        <v>50</v>
      </c>
      <c r="C109" s="3">
        <v>4</v>
      </c>
      <c r="D109" t="s">
        <v>53</v>
      </c>
    </row>
    <row r="110" spans="1:6" ht="15.75">
      <c r="A110" s="567" t="s">
        <v>483</v>
      </c>
      <c r="B110" s="567" t="s">
        <v>483</v>
      </c>
      <c r="C110" s="575">
        <v>0</v>
      </c>
      <c r="D110" s="567" t="s">
        <v>483</v>
      </c>
    </row>
    <row r="111" spans="1:6" ht="15.75">
      <c r="A111" s="567" t="s">
        <v>483</v>
      </c>
      <c r="B111" s="567" t="s">
        <v>483</v>
      </c>
      <c r="C111" s="575">
        <v>0</v>
      </c>
      <c r="D111" s="567" t="s">
        <v>483</v>
      </c>
    </row>
    <row r="112" spans="1:6" ht="15.75">
      <c r="A112" s="567" t="s">
        <v>483</v>
      </c>
      <c r="B112" s="567" t="s">
        <v>483</v>
      </c>
      <c r="C112" s="575">
        <v>0</v>
      </c>
      <c r="D112" s="567" t="s">
        <v>483</v>
      </c>
    </row>
    <row r="113" spans="1:4" ht="15.75">
      <c r="A113" s="567" t="s">
        <v>483</v>
      </c>
      <c r="B113" s="567" t="s">
        <v>483</v>
      </c>
      <c r="C113" s="575">
        <v>0</v>
      </c>
      <c r="D113" s="567" t="s">
        <v>483</v>
      </c>
    </row>
    <row r="114" spans="1:4" ht="15.75">
      <c r="A114" s="2"/>
      <c r="C114" s="3"/>
    </row>
    <row r="116" spans="1:4" ht="21">
      <c r="A116" s="956" t="s">
        <v>747</v>
      </c>
      <c r="B116" s="956"/>
      <c r="C116" s="956"/>
      <c r="D116" s="956"/>
    </row>
    <row r="117" spans="1:4">
      <c r="A117" s="576" t="s">
        <v>46</v>
      </c>
      <c r="B117" s="570" t="s">
        <v>49</v>
      </c>
      <c r="C117" s="570" t="s">
        <v>48</v>
      </c>
      <c r="D117" s="570" t="s">
        <v>47</v>
      </c>
    </row>
    <row r="118" spans="1:4" hidden="1">
      <c r="A118" t="s">
        <v>13</v>
      </c>
      <c r="C118">
        <v>1</v>
      </c>
      <c r="D118" t="s">
        <v>13</v>
      </c>
    </row>
    <row r="119" spans="1:4" hidden="1">
      <c r="A119" t="s">
        <v>843</v>
      </c>
      <c r="B119" t="s">
        <v>54</v>
      </c>
      <c r="C119">
        <v>16</v>
      </c>
      <c r="D119" t="s">
        <v>29</v>
      </c>
    </row>
    <row r="120" spans="1:4" hidden="1">
      <c r="A120" t="s">
        <v>844</v>
      </c>
      <c r="B120" t="s">
        <v>54</v>
      </c>
      <c r="C120">
        <v>16</v>
      </c>
      <c r="D120" t="s">
        <v>29</v>
      </c>
    </row>
    <row r="121" spans="1:4" hidden="1">
      <c r="A121" t="s">
        <v>845</v>
      </c>
      <c r="B121" t="s">
        <v>54</v>
      </c>
      <c r="C121">
        <v>128</v>
      </c>
      <c r="D121" t="s">
        <v>53</v>
      </c>
    </row>
    <row r="122" spans="1:4" hidden="1">
      <c r="A122" t="s">
        <v>846</v>
      </c>
      <c r="B122" t="s">
        <v>50</v>
      </c>
      <c r="C122">
        <v>4</v>
      </c>
      <c r="D122" t="s">
        <v>53</v>
      </c>
    </row>
    <row r="123" spans="1:4" hidden="1">
      <c r="A123" t="s">
        <v>847</v>
      </c>
      <c r="B123" t="s">
        <v>52</v>
      </c>
      <c r="C123">
        <v>8</v>
      </c>
      <c r="D123" t="s">
        <v>53</v>
      </c>
    </row>
    <row r="124" spans="1:4" hidden="1">
      <c r="A124" t="s">
        <v>848</v>
      </c>
      <c r="B124" t="s">
        <v>54</v>
      </c>
      <c r="C124">
        <v>16</v>
      </c>
      <c r="D124" t="s">
        <v>29</v>
      </c>
    </row>
    <row r="125" spans="1:4" hidden="1">
      <c r="A125" t="s">
        <v>850</v>
      </c>
      <c r="B125" t="s">
        <v>54</v>
      </c>
      <c r="C125">
        <v>16</v>
      </c>
      <c r="D125" t="s">
        <v>29</v>
      </c>
    </row>
    <row r="126" spans="1:4" hidden="1">
      <c r="A126" t="s">
        <v>851</v>
      </c>
      <c r="B126" t="s">
        <v>57</v>
      </c>
      <c r="C126">
        <v>1</v>
      </c>
      <c r="D126" t="s">
        <v>29</v>
      </c>
    </row>
    <row r="127" spans="1:4" hidden="1">
      <c r="A127" t="s">
        <v>852</v>
      </c>
      <c r="B127" t="s">
        <v>54</v>
      </c>
      <c r="C127">
        <v>128</v>
      </c>
      <c r="D127" t="s">
        <v>53</v>
      </c>
    </row>
    <row r="128" spans="1:4" hidden="1">
      <c r="A128" t="s">
        <v>853</v>
      </c>
      <c r="B128" t="s">
        <v>54</v>
      </c>
      <c r="C128">
        <v>16</v>
      </c>
      <c r="D128" t="s">
        <v>29</v>
      </c>
    </row>
    <row r="129" spans="1:4" hidden="1">
      <c r="A129" t="s">
        <v>854</v>
      </c>
      <c r="B129" t="s">
        <v>54</v>
      </c>
      <c r="C129">
        <v>128</v>
      </c>
      <c r="D129" t="s">
        <v>53</v>
      </c>
    </row>
    <row r="130" spans="1:4" hidden="1">
      <c r="A130" t="s">
        <v>855</v>
      </c>
      <c r="B130" t="s">
        <v>57</v>
      </c>
      <c r="C130">
        <v>1</v>
      </c>
      <c r="D130" t="s">
        <v>29</v>
      </c>
    </row>
    <row r="131" spans="1:4" hidden="1">
      <c r="A131" t="s">
        <v>856</v>
      </c>
      <c r="B131" t="s">
        <v>54</v>
      </c>
      <c r="C131">
        <v>128</v>
      </c>
      <c r="D131" t="s">
        <v>53</v>
      </c>
    </row>
    <row r="132" spans="1:4" hidden="1">
      <c r="A132" t="s">
        <v>857</v>
      </c>
      <c r="B132" t="s">
        <v>54</v>
      </c>
      <c r="C132">
        <v>128</v>
      </c>
      <c r="D132" t="s">
        <v>53</v>
      </c>
    </row>
    <row r="133" spans="1:4" hidden="1">
      <c r="A133" t="s">
        <v>858</v>
      </c>
      <c r="B133" t="s">
        <v>54</v>
      </c>
      <c r="C133">
        <v>128</v>
      </c>
      <c r="D133" t="s">
        <v>53</v>
      </c>
    </row>
    <row r="134" spans="1:4" hidden="1">
      <c r="A134" t="s">
        <v>859</v>
      </c>
      <c r="B134" t="s">
        <v>54</v>
      </c>
      <c r="C134">
        <v>128</v>
      </c>
      <c r="D134" t="s">
        <v>53</v>
      </c>
    </row>
    <row r="135" spans="1:4" hidden="1">
      <c r="A135" t="s">
        <v>860</v>
      </c>
      <c r="B135" t="s">
        <v>54</v>
      </c>
      <c r="C135">
        <v>128</v>
      </c>
      <c r="D135" t="s">
        <v>53</v>
      </c>
    </row>
    <row r="136" spans="1:4" hidden="1">
      <c r="A136" t="s">
        <v>861</v>
      </c>
      <c r="B136" t="s">
        <v>52</v>
      </c>
      <c r="C136">
        <v>8</v>
      </c>
      <c r="D136" t="s">
        <v>53</v>
      </c>
    </row>
    <row r="137" spans="1:4" hidden="1">
      <c r="A137" t="s">
        <v>862</v>
      </c>
      <c r="B137" t="s">
        <v>54</v>
      </c>
      <c r="C137">
        <v>128</v>
      </c>
      <c r="D137" t="s">
        <v>53</v>
      </c>
    </row>
    <row r="138" spans="1:4" hidden="1">
      <c r="A138" t="s">
        <v>863</v>
      </c>
      <c r="B138" t="s">
        <v>54</v>
      </c>
      <c r="C138">
        <v>128</v>
      </c>
      <c r="D138" t="s">
        <v>53</v>
      </c>
    </row>
    <row r="139" spans="1:4" hidden="1">
      <c r="A139" t="s">
        <v>864</v>
      </c>
      <c r="B139" t="s">
        <v>52</v>
      </c>
      <c r="C139">
        <v>8</v>
      </c>
      <c r="D139" t="s">
        <v>53</v>
      </c>
    </row>
    <row r="140" spans="1:4" hidden="1">
      <c r="A140" t="s">
        <v>865</v>
      </c>
      <c r="B140" t="s">
        <v>54</v>
      </c>
      <c r="C140">
        <v>128</v>
      </c>
      <c r="D140" t="s">
        <v>53</v>
      </c>
    </row>
    <row r="141" spans="1:4" hidden="1">
      <c r="A141" t="s">
        <v>866</v>
      </c>
      <c r="B141" t="s">
        <v>54</v>
      </c>
      <c r="C141">
        <v>128</v>
      </c>
      <c r="D141" t="s">
        <v>53</v>
      </c>
    </row>
    <row r="142" spans="1:4" hidden="1">
      <c r="A142" t="s">
        <v>867</v>
      </c>
      <c r="B142" t="s">
        <v>54</v>
      </c>
      <c r="C142">
        <v>128</v>
      </c>
      <c r="D142" t="s">
        <v>53</v>
      </c>
    </row>
    <row r="143" spans="1:4" hidden="1">
      <c r="A143" t="s">
        <v>868</v>
      </c>
      <c r="B143" t="s">
        <v>54</v>
      </c>
      <c r="C143">
        <v>128</v>
      </c>
      <c r="D143" t="s">
        <v>53</v>
      </c>
    </row>
    <row r="144" spans="1:4" hidden="1">
      <c r="A144" t="s">
        <v>869</v>
      </c>
      <c r="B144" t="s">
        <v>54</v>
      </c>
      <c r="C144">
        <v>128</v>
      </c>
      <c r="D144" t="s">
        <v>53</v>
      </c>
    </row>
    <row r="145" spans="1:5" hidden="1">
      <c r="A145" t="s">
        <v>870</v>
      </c>
      <c r="B145" t="s">
        <v>50</v>
      </c>
      <c r="C145">
        <v>4</v>
      </c>
      <c r="D145" t="s">
        <v>53</v>
      </c>
    </row>
    <row r="146" spans="1:5" hidden="1">
      <c r="A146" t="s">
        <v>871</v>
      </c>
      <c r="B146" t="s">
        <v>54</v>
      </c>
      <c r="C146">
        <v>128</v>
      </c>
      <c r="D146" t="s">
        <v>53</v>
      </c>
    </row>
    <row r="147" spans="1:5" hidden="1">
      <c r="A147" t="s">
        <v>872</v>
      </c>
      <c r="B147" t="s">
        <v>57</v>
      </c>
      <c r="C147">
        <v>1</v>
      </c>
      <c r="D147" t="s">
        <v>29</v>
      </c>
    </row>
    <row r="148" spans="1:5" hidden="1">
      <c r="A148" t="s">
        <v>873</v>
      </c>
      <c r="B148" t="s">
        <v>54</v>
      </c>
      <c r="C148">
        <v>128</v>
      </c>
      <c r="D148" t="s">
        <v>53</v>
      </c>
    </row>
    <row r="149" spans="1:5" hidden="1">
      <c r="A149" t="s">
        <v>874</v>
      </c>
      <c r="B149" t="s">
        <v>54</v>
      </c>
      <c r="C149">
        <v>16</v>
      </c>
      <c r="D149" t="s">
        <v>29</v>
      </c>
    </row>
    <row r="150" spans="1:5" hidden="1">
      <c r="A150" t="s">
        <v>875</v>
      </c>
      <c r="B150" t="s">
        <v>54</v>
      </c>
      <c r="C150">
        <v>16</v>
      </c>
      <c r="D150" t="s">
        <v>29</v>
      </c>
    </row>
    <row r="151" spans="1:5" hidden="1">
      <c r="A151" t="s">
        <v>876</v>
      </c>
      <c r="B151" t="s">
        <v>54</v>
      </c>
      <c r="C151">
        <v>128</v>
      </c>
      <c r="D151" t="s">
        <v>53</v>
      </c>
    </row>
    <row r="152" spans="1:5">
      <c r="A152" t="s">
        <v>877</v>
      </c>
      <c r="B152" t="s">
        <v>54</v>
      </c>
      <c r="C152">
        <v>128</v>
      </c>
      <c r="D152" t="s">
        <v>53</v>
      </c>
    </row>
    <row r="153" spans="1:5" ht="15.75">
      <c r="A153" s="567" t="s">
        <v>483</v>
      </c>
      <c r="B153" s="567" t="s">
        <v>483</v>
      </c>
      <c r="C153" s="575">
        <v>0</v>
      </c>
      <c r="D153" s="567" t="s">
        <v>483</v>
      </c>
      <c r="E153" s="1"/>
    </row>
    <row r="154" spans="1:5" ht="15.75">
      <c r="A154" s="567" t="s">
        <v>483</v>
      </c>
      <c r="B154" s="567" t="s">
        <v>483</v>
      </c>
      <c r="C154" s="575">
        <v>0</v>
      </c>
      <c r="D154" s="567" t="s">
        <v>483</v>
      </c>
      <c r="E154" s="1"/>
    </row>
    <row r="155" spans="1:5" ht="15.75">
      <c r="A155" s="567" t="s">
        <v>483</v>
      </c>
      <c r="B155" s="567" t="s">
        <v>483</v>
      </c>
      <c r="C155" s="575">
        <v>0</v>
      </c>
      <c r="D155" s="567" t="s">
        <v>483</v>
      </c>
      <c r="E155" s="1"/>
    </row>
    <row r="156" spans="1:5" ht="15.75">
      <c r="A156" s="567" t="s">
        <v>483</v>
      </c>
      <c r="B156" s="567" t="s">
        <v>483</v>
      </c>
      <c r="C156" s="575">
        <v>0</v>
      </c>
      <c r="D156" s="567" t="s">
        <v>483</v>
      </c>
      <c r="E156" s="1"/>
    </row>
    <row r="158" spans="1:5">
      <c r="E158" s="1"/>
    </row>
    <row r="159" spans="1:5" ht="21">
      <c r="A159" s="956" t="s">
        <v>138</v>
      </c>
      <c r="B159" s="956"/>
      <c r="C159" s="956"/>
      <c r="D159" s="956"/>
      <c r="E159" s="1"/>
    </row>
    <row r="160" spans="1:5" ht="15.75" hidden="1">
      <c r="A160" s="2" t="s">
        <v>13</v>
      </c>
      <c r="C160" s="3">
        <v>1</v>
      </c>
      <c r="D160" t="s">
        <v>13</v>
      </c>
      <c r="E160" s="1"/>
    </row>
    <row r="161" spans="1:5" hidden="1">
      <c r="A161" t="s">
        <v>139</v>
      </c>
      <c r="B161" t="s">
        <v>52</v>
      </c>
      <c r="C161" s="3">
        <v>8</v>
      </c>
      <c r="D161" t="s">
        <v>53</v>
      </c>
      <c r="E161" s="1"/>
    </row>
    <row r="162" spans="1:5" hidden="1">
      <c r="A162" t="s">
        <v>140</v>
      </c>
      <c r="B162" t="s">
        <v>54</v>
      </c>
      <c r="C162" s="3">
        <v>1</v>
      </c>
      <c r="D162" t="s">
        <v>53</v>
      </c>
    </row>
    <row r="163" spans="1:5" hidden="1">
      <c r="A163" t="s">
        <v>141</v>
      </c>
      <c r="B163" t="s">
        <v>57</v>
      </c>
      <c r="C163" s="3">
        <v>1</v>
      </c>
      <c r="D163" t="s">
        <v>29</v>
      </c>
    </row>
    <row r="164" spans="1:5" hidden="1">
      <c r="A164" t="s">
        <v>142</v>
      </c>
      <c r="B164" t="s">
        <v>50</v>
      </c>
      <c r="C164" s="3">
        <v>4</v>
      </c>
      <c r="D164" t="s">
        <v>53</v>
      </c>
    </row>
    <row r="165" spans="1:5" hidden="1"/>
    <row r="166" spans="1:5">
      <c r="A166" s="576" t="s">
        <v>46</v>
      </c>
      <c r="B166" s="570" t="s">
        <v>49</v>
      </c>
      <c r="C166" s="570" t="s">
        <v>48</v>
      </c>
      <c r="D166" s="570" t="s">
        <v>47</v>
      </c>
    </row>
    <row r="167" spans="1:5" ht="15.75" hidden="1">
      <c r="A167" s="2" t="s">
        <v>13</v>
      </c>
      <c r="C167" s="3">
        <v>1</v>
      </c>
      <c r="D167" t="s">
        <v>13</v>
      </c>
    </row>
    <row r="168" spans="1:5" hidden="1">
      <c r="A168" t="s">
        <v>13</v>
      </c>
      <c r="C168" s="550">
        <v>1</v>
      </c>
      <c r="D168" t="s">
        <v>13</v>
      </c>
    </row>
    <row r="169" spans="1:5" hidden="1">
      <c r="A169" t="s">
        <v>751</v>
      </c>
      <c r="B169" t="s">
        <v>57</v>
      </c>
      <c r="C169" s="550">
        <v>1</v>
      </c>
      <c r="D169" t="s">
        <v>29</v>
      </c>
    </row>
    <row r="170" spans="1:5" hidden="1">
      <c r="A170" t="s">
        <v>752</v>
      </c>
      <c r="B170" t="s">
        <v>54</v>
      </c>
      <c r="C170" s="550">
        <v>16</v>
      </c>
      <c r="D170" t="s">
        <v>29</v>
      </c>
    </row>
    <row r="171" spans="1:5" hidden="1">
      <c r="A171" t="s">
        <v>753</v>
      </c>
      <c r="B171" t="s">
        <v>54</v>
      </c>
      <c r="C171" s="550">
        <v>128</v>
      </c>
      <c r="D171" t="s">
        <v>53</v>
      </c>
    </row>
    <row r="172" spans="1:5" hidden="1">
      <c r="A172" t="s">
        <v>754</v>
      </c>
      <c r="B172" t="s">
        <v>54</v>
      </c>
      <c r="C172" s="550">
        <v>128</v>
      </c>
      <c r="D172" t="s">
        <v>53</v>
      </c>
    </row>
    <row r="173" spans="1:5" hidden="1">
      <c r="A173" t="s">
        <v>755</v>
      </c>
      <c r="B173" t="s">
        <v>54</v>
      </c>
      <c r="C173" s="550">
        <v>128</v>
      </c>
      <c r="D173" t="s">
        <v>53</v>
      </c>
    </row>
    <row r="174" spans="1:5" hidden="1">
      <c r="A174" t="s">
        <v>756</v>
      </c>
      <c r="B174" t="s">
        <v>54</v>
      </c>
      <c r="C174" s="550">
        <v>128</v>
      </c>
      <c r="D174" t="s">
        <v>53</v>
      </c>
    </row>
    <row r="175" spans="1:5" hidden="1">
      <c r="A175" t="s">
        <v>757</v>
      </c>
      <c r="B175" t="s">
        <v>54</v>
      </c>
      <c r="C175" s="550">
        <v>16</v>
      </c>
      <c r="D175" t="s">
        <v>29</v>
      </c>
    </row>
    <row r="176" spans="1:5" hidden="1">
      <c r="A176" t="s">
        <v>758</v>
      </c>
      <c r="B176" t="s">
        <v>54</v>
      </c>
      <c r="C176" s="550">
        <v>128</v>
      </c>
      <c r="D176" t="s">
        <v>53</v>
      </c>
    </row>
    <row r="177" spans="1:4" hidden="1">
      <c r="A177" t="s">
        <v>759</v>
      </c>
      <c r="B177" t="s">
        <v>54</v>
      </c>
      <c r="C177" s="550">
        <v>16</v>
      </c>
      <c r="D177" t="s">
        <v>29</v>
      </c>
    </row>
    <row r="178" spans="1:4" hidden="1">
      <c r="A178" t="s">
        <v>760</v>
      </c>
      <c r="B178" t="s">
        <v>54</v>
      </c>
      <c r="C178" s="550">
        <v>128</v>
      </c>
      <c r="D178" t="s">
        <v>53</v>
      </c>
    </row>
    <row r="179" spans="1:4" hidden="1">
      <c r="A179" t="s">
        <v>761</v>
      </c>
      <c r="B179" t="s">
        <v>54</v>
      </c>
      <c r="C179" s="550">
        <v>128</v>
      </c>
      <c r="D179" t="s">
        <v>53</v>
      </c>
    </row>
    <row r="180" spans="1:4" hidden="1">
      <c r="A180" t="s">
        <v>762</v>
      </c>
      <c r="B180" t="s">
        <v>57</v>
      </c>
      <c r="C180" s="550">
        <v>1</v>
      </c>
      <c r="D180" t="s">
        <v>29</v>
      </c>
    </row>
    <row r="181" spans="1:4" hidden="1">
      <c r="A181" t="s">
        <v>763</v>
      </c>
      <c r="B181" t="s">
        <v>54</v>
      </c>
      <c r="C181" s="550">
        <v>128</v>
      </c>
      <c r="D181" t="s">
        <v>53</v>
      </c>
    </row>
    <row r="182" spans="1:4" hidden="1">
      <c r="A182" t="s">
        <v>764</v>
      </c>
      <c r="B182" t="s">
        <v>54</v>
      </c>
      <c r="C182" s="550">
        <v>128</v>
      </c>
      <c r="D182" t="s">
        <v>53</v>
      </c>
    </row>
    <row r="183" spans="1:4" hidden="1">
      <c r="A183" t="s">
        <v>765</v>
      </c>
      <c r="B183" t="s">
        <v>54</v>
      </c>
      <c r="C183" s="550">
        <v>16</v>
      </c>
      <c r="D183" t="s">
        <v>29</v>
      </c>
    </row>
    <row r="184" spans="1:4" hidden="1">
      <c r="A184" t="s">
        <v>766</v>
      </c>
      <c r="B184" t="s">
        <v>54</v>
      </c>
      <c r="C184" s="550">
        <v>128</v>
      </c>
      <c r="D184" t="s">
        <v>53</v>
      </c>
    </row>
    <row r="185" spans="1:4" hidden="1">
      <c r="A185" t="s">
        <v>767</v>
      </c>
      <c r="B185" t="s">
        <v>54</v>
      </c>
      <c r="C185" s="550">
        <v>128</v>
      </c>
      <c r="D185" t="s">
        <v>53</v>
      </c>
    </row>
    <row r="186" spans="1:4" hidden="1">
      <c r="A186" t="s">
        <v>768</v>
      </c>
      <c r="B186" t="s">
        <v>57</v>
      </c>
      <c r="C186" s="550">
        <v>1</v>
      </c>
      <c r="D186" t="s">
        <v>29</v>
      </c>
    </row>
    <row r="187" spans="1:4" hidden="1">
      <c r="A187" t="s">
        <v>769</v>
      </c>
      <c r="B187" t="s">
        <v>57</v>
      </c>
      <c r="C187" s="550">
        <v>1</v>
      </c>
      <c r="D187" t="s">
        <v>29</v>
      </c>
    </row>
    <row r="188" spans="1:4" hidden="1">
      <c r="A188" t="s">
        <v>770</v>
      </c>
      <c r="B188" t="s">
        <v>54</v>
      </c>
      <c r="C188" s="550">
        <v>16</v>
      </c>
      <c r="D188" t="s">
        <v>29</v>
      </c>
    </row>
    <row r="189" spans="1:4" hidden="1">
      <c r="A189" t="s">
        <v>771</v>
      </c>
      <c r="B189" t="s">
        <v>50</v>
      </c>
      <c r="C189" s="550">
        <v>4</v>
      </c>
      <c r="D189" t="s">
        <v>53</v>
      </c>
    </row>
    <row r="190" spans="1:4" hidden="1">
      <c r="A190" t="s">
        <v>772</v>
      </c>
      <c r="B190" t="s">
        <v>54</v>
      </c>
      <c r="C190" s="550">
        <v>16</v>
      </c>
      <c r="D190" t="s">
        <v>29</v>
      </c>
    </row>
    <row r="191" spans="1:4" hidden="1">
      <c r="A191" t="s">
        <v>773</v>
      </c>
      <c r="B191" t="s">
        <v>52</v>
      </c>
      <c r="C191" s="550">
        <v>8</v>
      </c>
      <c r="D191" t="s">
        <v>53</v>
      </c>
    </row>
    <row r="192" spans="1:4" hidden="1">
      <c r="A192" t="s">
        <v>774</v>
      </c>
      <c r="B192" t="s">
        <v>52</v>
      </c>
      <c r="C192" s="550">
        <v>8</v>
      </c>
      <c r="D192" t="s">
        <v>53</v>
      </c>
    </row>
    <row r="193" spans="1:4" hidden="1">
      <c r="A193" t="s">
        <v>775</v>
      </c>
      <c r="B193" t="s">
        <v>50</v>
      </c>
      <c r="C193" s="550">
        <v>4</v>
      </c>
      <c r="D193" t="s">
        <v>53</v>
      </c>
    </row>
    <row r="194" spans="1:4" hidden="1">
      <c r="A194" t="s">
        <v>776</v>
      </c>
      <c r="B194" t="s">
        <v>57</v>
      </c>
      <c r="C194" s="550">
        <v>1</v>
      </c>
      <c r="D194" t="s">
        <v>29</v>
      </c>
    </row>
    <row r="195" spans="1:4" hidden="1">
      <c r="A195" t="s">
        <v>777</v>
      </c>
      <c r="B195" t="s">
        <v>54</v>
      </c>
      <c r="C195" s="550">
        <v>16</v>
      </c>
      <c r="D195" t="s">
        <v>29</v>
      </c>
    </row>
    <row r="196" spans="1:4" hidden="1">
      <c r="A196" t="s">
        <v>778</v>
      </c>
      <c r="B196" t="s">
        <v>54</v>
      </c>
      <c r="C196" s="550">
        <v>128</v>
      </c>
      <c r="D196" t="s">
        <v>53</v>
      </c>
    </row>
    <row r="197" spans="1:4" hidden="1">
      <c r="A197" t="s">
        <v>779</v>
      </c>
      <c r="B197" t="s">
        <v>54</v>
      </c>
      <c r="C197" s="550">
        <v>128</v>
      </c>
      <c r="D197" t="s">
        <v>53</v>
      </c>
    </row>
    <row r="198" spans="1:4" hidden="1">
      <c r="A198" t="s">
        <v>780</v>
      </c>
      <c r="B198" t="s">
        <v>54</v>
      </c>
      <c r="C198" s="550">
        <v>16</v>
      </c>
      <c r="D198" t="s">
        <v>29</v>
      </c>
    </row>
    <row r="199" spans="1:4" hidden="1">
      <c r="A199" t="s">
        <v>781</v>
      </c>
      <c r="B199" t="s">
        <v>54</v>
      </c>
      <c r="C199" s="550">
        <v>128</v>
      </c>
      <c r="D199" t="s">
        <v>53</v>
      </c>
    </row>
    <row r="200" spans="1:4" hidden="1">
      <c r="A200" t="s">
        <v>782</v>
      </c>
      <c r="B200" t="s">
        <v>57</v>
      </c>
      <c r="C200" s="550">
        <v>1</v>
      </c>
      <c r="D200" t="s">
        <v>29</v>
      </c>
    </row>
    <row r="201" spans="1:4" hidden="1">
      <c r="A201" t="s">
        <v>783</v>
      </c>
      <c r="B201" t="s">
        <v>57</v>
      </c>
      <c r="C201" s="550">
        <v>1</v>
      </c>
      <c r="D201" t="s">
        <v>29</v>
      </c>
    </row>
    <row r="202" spans="1:4" hidden="1">
      <c r="A202" t="s">
        <v>784</v>
      </c>
      <c r="B202" t="s">
        <v>15</v>
      </c>
      <c r="C202" s="550">
        <v>1</v>
      </c>
      <c r="D202" t="s">
        <v>53</v>
      </c>
    </row>
    <row r="203" spans="1:4" hidden="1">
      <c r="A203" t="s">
        <v>785</v>
      </c>
      <c r="B203" t="s">
        <v>52</v>
      </c>
      <c r="C203" s="550">
        <v>8</v>
      </c>
      <c r="D203" t="s">
        <v>53</v>
      </c>
    </row>
    <row r="204" spans="1:4" hidden="1">
      <c r="A204" t="s">
        <v>786</v>
      </c>
      <c r="B204" t="s">
        <v>54</v>
      </c>
      <c r="C204" s="550">
        <v>128</v>
      </c>
      <c r="D204" t="s">
        <v>53</v>
      </c>
    </row>
    <row r="205" spans="1:4" hidden="1">
      <c r="A205" t="s">
        <v>787</v>
      </c>
      <c r="B205" t="s">
        <v>52</v>
      </c>
      <c r="C205" s="550">
        <v>8</v>
      </c>
      <c r="D205" t="s">
        <v>53</v>
      </c>
    </row>
    <row r="206" spans="1:4" hidden="1">
      <c r="A206" t="s">
        <v>276</v>
      </c>
      <c r="B206" t="s">
        <v>57</v>
      </c>
      <c r="C206" s="550">
        <v>1</v>
      </c>
      <c r="D206" t="s">
        <v>29</v>
      </c>
    </row>
    <row r="207" spans="1:4" hidden="1">
      <c r="A207" t="s">
        <v>277</v>
      </c>
      <c r="B207" t="s">
        <v>52</v>
      </c>
      <c r="C207" s="550">
        <v>8</v>
      </c>
      <c r="D207" t="s">
        <v>53</v>
      </c>
    </row>
    <row r="208" spans="1:4" hidden="1">
      <c r="A208" t="s">
        <v>788</v>
      </c>
      <c r="B208" t="s">
        <v>54</v>
      </c>
      <c r="C208" s="550">
        <v>128</v>
      </c>
      <c r="D208" t="s">
        <v>53</v>
      </c>
    </row>
    <row r="209" spans="1:4" hidden="1">
      <c r="A209" t="s">
        <v>697</v>
      </c>
      <c r="B209" t="s">
        <v>15</v>
      </c>
      <c r="C209" s="550">
        <v>1</v>
      </c>
      <c r="D209" t="s">
        <v>53</v>
      </c>
    </row>
    <row r="210" spans="1:4" hidden="1">
      <c r="A210" t="s">
        <v>789</v>
      </c>
      <c r="B210" t="s">
        <v>54</v>
      </c>
      <c r="C210" s="550">
        <v>128</v>
      </c>
      <c r="D210" t="s">
        <v>53</v>
      </c>
    </row>
    <row r="211" spans="1:4" hidden="1">
      <c r="A211" t="s">
        <v>790</v>
      </c>
      <c r="B211" t="s">
        <v>52</v>
      </c>
      <c r="C211" s="550">
        <v>8</v>
      </c>
      <c r="D211" t="s">
        <v>53</v>
      </c>
    </row>
    <row r="212" spans="1:4" hidden="1">
      <c r="A212" t="s">
        <v>791</v>
      </c>
      <c r="B212" t="s">
        <v>54</v>
      </c>
      <c r="C212" s="550">
        <v>128</v>
      </c>
      <c r="D212" t="s">
        <v>53</v>
      </c>
    </row>
    <row r="213" spans="1:4" hidden="1">
      <c r="A213" t="s">
        <v>792</v>
      </c>
      <c r="B213" t="s">
        <v>54</v>
      </c>
      <c r="C213" s="550">
        <v>128</v>
      </c>
      <c r="D213" t="s">
        <v>53</v>
      </c>
    </row>
    <row r="214" spans="1:4" hidden="1">
      <c r="A214" t="s">
        <v>793</v>
      </c>
      <c r="B214" t="s">
        <v>54</v>
      </c>
      <c r="C214" s="550">
        <v>128</v>
      </c>
      <c r="D214" t="s">
        <v>53</v>
      </c>
    </row>
    <row r="215" spans="1:4" hidden="1">
      <c r="A215" t="s">
        <v>794</v>
      </c>
      <c r="B215" t="s">
        <v>54</v>
      </c>
      <c r="C215" s="550">
        <v>128</v>
      </c>
      <c r="D215" t="s">
        <v>53</v>
      </c>
    </row>
    <row r="216" spans="1:4" hidden="1">
      <c r="A216" t="s">
        <v>795</v>
      </c>
      <c r="B216" t="s">
        <v>54</v>
      </c>
      <c r="C216" s="550">
        <v>128</v>
      </c>
      <c r="D216" t="s">
        <v>53</v>
      </c>
    </row>
    <row r="217" spans="1:4" hidden="1">
      <c r="A217" t="s">
        <v>796</v>
      </c>
      <c r="B217" t="s">
        <v>54</v>
      </c>
      <c r="C217" s="550">
        <v>16</v>
      </c>
      <c r="D217" t="s">
        <v>29</v>
      </c>
    </row>
    <row r="218" spans="1:4" hidden="1">
      <c r="A218" t="s">
        <v>797</v>
      </c>
      <c r="B218" t="s">
        <v>54</v>
      </c>
      <c r="C218" s="550">
        <v>128</v>
      </c>
      <c r="D218" t="s">
        <v>53</v>
      </c>
    </row>
    <row r="219" spans="1:4" hidden="1">
      <c r="A219" t="s">
        <v>798</v>
      </c>
      <c r="B219" t="s">
        <v>54</v>
      </c>
      <c r="C219" s="550">
        <v>128</v>
      </c>
      <c r="D219" t="s">
        <v>53</v>
      </c>
    </row>
    <row r="220" spans="1:4" hidden="1">
      <c r="A220" t="s">
        <v>799</v>
      </c>
      <c r="B220" t="s">
        <v>57</v>
      </c>
      <c r="C220" s="550">
        <v>1</v>
      </c>
      <c r="D220" t="s">
        <v>29</v>
      </c>
    </row>
    <row r="221" spans="1:4" hidden="1">
      <c r="A221" t="s">
        <v>800</v>
      </c>
      <c r="B221" t="s">
        <v>54</v>
      </c>
      <c r="C221" s="550">
        <v>128</v>
      </c>
      <c r="D221" t="s">
        <v>53</v>
      </c>
    </row>
    <row r="222" spans="1:4" hidden="1">
      <c r="A222" t="s">
        <v>801</v>
      </c>
      <c r="B222" t="s">
        <v>54</v>
      </c>
      <c r="C222" s="550">
        <v>128</v>
      </c>
      <c r="D222" t="s">
        <v>53</v>
      </c>
    </row>
    <row r="223" spans="1:4" hidden="1">
      <c r="A223" t="s">
        <v>802</v>
      </c>
      <c r="B223" t="s">
        <v>54</v>
      </c>
      <c r="C223" s="550">
        <v>128</v>
      </c>
      <c r="D223" t="s">
        <v>53</v>
      </c>
    </row>
    <row r="224" spans="1:4" hidden="1">
      <c r="A224" t="s">
        <v>803</v>
      </c>
      <c r="B224" t="s">
        <v>54</v>
      </c>
      <c r="C224" s="550">
        <v>128</v>
      </c>
      <c r="D224" t="s">
        <v>53</v>
      </c>
    </row>
    <row r="225" spans="1:4" hidden="1">
      <c r="A225" t="s">
        <v>804</v>
      </c>
      <c r="B225" t="s">
        <v>54</v>
      </c>
      <c r="C225" s="550">
        <v>128</v>
      </c>
      <c r="D225" t="s">
        <v>53</v>
      </c>
    </row>
    <row r="226" spans="1:4" hidden="1">
      <c r="A226" t="s">
        <v>275</v>
      </c>
      <c r="B226" t="s">
        <v>54</v>
      </c>
      <c r="C226" s="550">
        <v>128</v>
      </c>
      <c r="D226" t="s">
        <v>53</v>
      </c>
    </row>
    <row r="227" spans="1:4" hidden="1">
      <c r="A227" t="s">
        <v>805</v>
      </c>
      <c r="B227" t="s">
        <v>50</v>
      </c>
      <c r="C227" s="550">
        <v>4</v>
      </c>
      <c r="D227" t="s">
        <v>53</v>
      </c>
    </row>
    <row r="228" spans="1:4" hidden="1">
      <c r="A228" t="s">
        <v>806</v>
      </c>
      <c r="B228" t="s">
        <v>54</v>
      </c>
      <c r="C228" s="550">
        <v>128</v>
      </c>
      <c r="D228" t="s">
        <v>53</v>
      </c>
    </row>
    <row r="229" spans="1:4" hidden="1">
      <c r="A229" t="s">
        <v>807</v>
      </c>
      <c r="B229" t="s">
        <v>15</v>
      </c>
      <c r="C229" s="550">
        <v>1</v>
      </c>
      <c r="D229" t="s">
        <v>53</v>
      </c>
    </row>
    <row r="230" spans="1:4" hidden="1">
      <c r="A230" t="s">
        <v>808</v>
      </c>
      <c r="B230" t="s">
        <v>52</v>
      </c>
      <c r="C230" s="550">
        <v>8</v>
      </c>
      <c r="D230" t="s">
        <v>53</v>
      </c>
    </row>
    <row r="231" spans="1:4" hidden="1">
      <c r="A231" t="s">
        <v>809</v>
      </c>
      <c r="B231" t="s">
        <v>52</v>
      </c>
      <c r="C231" s="550">
        <v>8</v>
      </c>
      <c r="D231" t="s">
        <v>53</v>
      </c>
    </row>
    <row r="232" spans="1:4" hidden="1">
      <c r="A232" t="s">
        <v>810</v>
      </c>
      <c r="B232" t="s">
        <v>57</v>
      </c>
      <c r="C232" s="550">
        <v>1</v>
      </c>
      <c r="D232" t="s">
        <v>29</v>
      </c>
    </row>
    <row r="233" spans="1:4" hidden="1">
      <c r="A233" t="s">
        <v>811</v>
      </c>
      <c r="B233" t="s">
        <v>54</v>
      </c>
      <c r="C233" s="550">
        <v>128</v>
      </c>
      <c r="D233" t="s">
        <v>53</v>
      </c>
    </row>
    <row r="234" spans="1:4" hidden="1">
      <c r="A234" t="s">
        <v>812</v>
      </c>
      <c r="B234" t="s">
        <v>57</v>
      </c>
      <c r="C234" s="550">
        <v>1</v>
      </c>
      <c r="D234" t="s">
        <v>29</v>
      </c>
    </row>
    <row r="235" spans="1:4" hidden="1">
      <c r="A235" t="s">
        <v>813</v>
      </c>
      <c r="B235" t="s">
        <v>50</v>
      </c>
      <c r="C235" s="550">
        <v>4</v>
      </c>
      <c r="D235" t="s">
        <v>53</v>
      </c>
    </row>
    <row r="236" spans="1:4" hidden="1">
      <c r="A236" t="s">
        <v>814</v>
      </c>
      <c r="B236" t="s">
        <v>54</v>
      </c>
      <c r="C236" s="550">
        <v>128</v>
      </c>
      <c r="D236" t="s">
        <v>53</v>
      </c>
    </row>
    <row r="237" spans="1:4" hidden="1">
      <c r="A237" t="s">
        <v>815</v>
      </c>
      <c r="B237" t="s">
        <v>54</v>
      </c>
      <c r="C237" s="550">
        <v>128</v>
      </c>
      <c r="D237" t="s">
        <v>53</v>
      </c>
    </row>
    <row r="238" spans="1:4" hidden="1">
      <c r="A238" t="s">
        <v>816</v>
      </c>
      <c r="B238" t="s">
        <v>54</v>
      </c>
      <c r="C238" s="550">
        <v>128</v>
      </c>
      <c r="D238" t="s">
        <v>53</v>
      </c>
    </row>
    <row r="239" spans="1:4" hidden="1">
      <c r="A239" t="s">
        <v>817</v>
      </c>
      <c r="B239" t="s">
        <v>54</v>
      </c>
      <c r="C239" s="550">
        <v>128</v>
      </c>
      <c r="D239" t="s">
        <v>53</v>
      </c>
    </row>
    <row r="240" spans="1:4" hidden="1">
      <c r="A240" t="s">
        <v>818</v>
      </c>
      <c r="B240" t="s">
        <v>54</v>
      </c>
      <c r="C240" s="550">
        <v>128</v>
      </c>
      <c r="D240" t="s">
        <v>53</v>
      </c>
    </row>
    <row r="241" spans="1:4" hidden="1">
      <c r="A241" t="s">
        <v>819</v>
      </c>
      <c r="B241" t="s">
        <v>54</v>
      </c>
      <c r="C241" s="550">
        <v>128</v>
      </c>
      <c r="D241" t="s">
        <v>53</v>
      </c>
    </row>
    <row r="242" spans="1:4" hidden="1">
      <c r="A242" t="s">
        <v>820</v>
      </c>
      <c r="B242" t="s">
        <v>54</v>
      </c>
      <c r="C242" s="550">
        <v>128</v>
      </c>
      <c r="D242" t="s">
        <v>53</v>
      </c>
    </row>
    <row r="243" spans="1:4" hidden="1">
      <c r="A243" t="s">
        <v>821</v>
      </c>
      <c r="B243" t="s">
        <v>54</v>
      </c>
      <c r="C243" s="550">
        <v>128</v>
      </c>
      <c r="D243" t="s">
        <v>53</v>
      </c>
    </row>
    <row r="244" spans="1:4" hidden="1">
      <c r="A244" t="s">
        <v>822</v>
      </c>
      <c r="B244" t="s">
        <v>57</v>
      </c>
      <c r="C244" s="550">
        <v>1</v>
      </c>
      <c r="D244" t="s">
        <v>29</v>
      </c>
    </row>
    <row r="245" spans="1:4" hidden="1">
      <c r="A245" t="s">
        <v>823</v>
      </c>
      <c r="B245" t="s">
        <v>54</v>
      </c>
      <c r="C245" s="550">
        <v>16</v>
      </c>
      <c r="D245" t="s">
        <v>29</v>
      </c>
    </row>
    <row r="246" spans="1:4" hidden="1">
      <c r="A246" t="s">
        <v>824</v>
      </c>
      <c r="B246" t="s">
        <v>15</v>
      </c>
      <c r="C246" s="550">
        <v>1</v>
      </c>
      <c r="D246" t="s">
        <v>53</v>
      </c>
    </row>
    <row r="247" spans="1:4" hidden="1">
      <c r="A247" t="s">
        <v>825</v>
      </c>
      <c r="B247" t="s">
        <v>54</v>
      </c>
      <c r="C247" s="550">
        <v>128</v>
      </c>
      <c r="D247" t="s">
        <v>53</v>
      </c>
    </row>
    <row r="248" spans="1:4" hidden="1">
      <c r="A248" t="s">
        <v>826</v>
      </c>
      <c r="B248" t="s">
        <v>54</v>
      </c>
      <c r="C248" s="550">
        <v>128</v>
      </c>
      <c r="D248" t="s">
        <v>53</v>
      </c>
    </row>
    <row r="249" spans="1:4" hidden="1">
      <c r="A249" t="s">
        <v>278</v>
      </c>
      <c r="B249" t="s">
        <v>54</v>
      </c>
      <c r="C249" s="550">
        <v>128</v>
      </c>
      <c r="D249" t="s">
        <v>53</v>
      </c>
    </row>
    <row r="250" spans="1:4" hidden="1">
      <c r="A250" t="s">
        <v>827</v>
      </c>
      <c r="B250" t="s">
        <v>54</v>
      </c>
      <c r="C250" s="550">
        <v>16</v>
      </c>
      <c r="D250" t="s">
        <v>29</v>
      </c>
    </row>
    <row r="251" spans="1:4" hidden="1">
      <c r="A251" t="s">
        <v>828</v>
      </c>
      <c r="B251" t="s">
        <v>54</v>
      </c>
      <c r="C251" s="550">
        <v>128</v>
      </c>
      <c r="D251" t="s">
        <v>53</v>
      </c>
    </row>
    <row r="252" spans="1:4" hidden="1">
      <c r="A252" t="s">
        <v>829</v>
      </c>
      <c r="B252" t="s">
        <v>50</v>
      </c>
      <c r="C252" s="550">
        <v>4</v>
      </c>
      <c r="D252" t="s">
        <v>53</v>
      </c>
    </row>
    <row r="253" spans="1:4" hidden="1">
      <c r="A253" t="s">
        <v>830</v>
      </c>
      <c r="B253" t="s">
        <v>54</v>
      </c>
      <c r="C253" s="550">
        <v>128</v>
      </c>
      <c r="D253" t="s">
        <v>53</v>
      </c>
    </row>
    <row r="254" spans="1:4" hidden="1">
      <c r="A254" t="s">
        <v>831</v>
      </c>
      <c r="B254" t="s">
        <v>57</v>
      </c>
      <c r="C254" s="550">
        <v>1</v>
      </c>
      <c r="D254" t="s">
        <v>29</v>
      </c>
    </row>
    <row r="255" spans="1:4" hidden="1">
      <c r="A255" t="s">
        <v>832</v>
      </c>
      <c r="B255" t="s">
        <v>57</v>
      </c>
      <c r="C255" s="550">
        <v>1</v>
      </c>
      <c r="D255" t="s">
        <v>29</v>
      </c>
    </row>
    <row r="256" spans="1:4" hidden="1">
      <c r="A256" t="s">
        <v>833</v>
      </c>
      <c r="B256" t="s">
        <v>15</v>
      </c>
      <c r="C256" s="550">
        <v>1</v>
      </c>
      <c r="D256" t="s">
        <v>53</v>
      </c>
    </row>
    <row r="257" spans="1:4" hidden="1">
      <c r="A257" t="s">
        <v>834</v>
      </c>
      <c r="B257" t="s">
        <v>15</v>
      </c>
      <c r="C257" s="550">
        <v>1</v>
      </c>
      <c r="D257" t="s">
        <v>53</v>
      </c>
    </row>
    <row r="258" spans="1:4" hidden="1">
      <c r="A258" t="s">
        <v>835</v>
      </c>
      <c r="B258" t="s">
        <v>54</v>
      </c>
      <c r="C258" s="550">
        <v>128</v>
      </c>
      <c r="D258" t="s">
        <v>53</v>
      </c>
    </row>
    <row r="259" spans="1:4" hidden="1">
      <c r="A259" t="s">
        <v>836</v>
      </c>
      <c r="B259" t="s">
        <v>54</v>
      </c>
      <c r="C259" s="550">
        <v>16</v>
      </c>
      <c r="D259" t="s">
        <v>29</v>
      </c>
    </row>
    <row r="260" spans="1:4" hidden="1">
      <c r="A260" t="s">
        <v>837</v>
      </c>
      <c r="B260" t="s">
        <v>54</v>
      </c>
      <c r="C260" s="550">
        <v>128</v>
      </c>
      <c r="D260" t="s">
        <v>53</v>
      </c>
    </row>
    <row r="261" spans="1:4" hidden="1">
      <c r="A261" t="s">
        <v>838</v>
      </c>
      <c r="B261" t="s">
        <v>54</v>
      </c>
      <c r="C261" s="550">
        <v>128</v>
      </c>
      <c r="D261" t="s">
        <v>53</v>
      </c>
    </row>
    <row r="262" spans="1:4" hidden="1">
      <c r="A262" t="s">
        <v>839</v>
      </c>
      <c r="B262" t="s">
        <v>54</v>
      </c>
      <c r="C262" s="550">
        <v>16</v>
      </c>
      <c r="D262" t="s">
        <v>29</v>
      </c>
    </row>
    <row r="263" spans="1:4" hidden="1">
      <c r="A263" t="s">
        <v>840</v>
      </c>
      <c r="B263" t="s">
        <v>15</v>
      </c>
      <c r="C263" s="550">
        <v>1</v>
      </c>
      <c r="D263" t="s">
        <v>53</v>
      </c>
    </row>
    <row r="264" spans="1:4" hidden="1">
      <c r="A264" t="s">
        <v>841</v>
      </c>
      <c r="B264" t="s">
        <v>54</v>
      </c>
      <c r="C264" s="550">
        <v>128</v>
      </c>
      <c r="D264" t="s">
        <v>53</v>
      </c>
    </row>
    <row r="265" spans="1:4">
      <c r="A265" t="s">
        <v>842</v>
      </c>
      <c r="B265" t="s">
        <v>57</v>
      </c>
      <c r="C265" s="550">
        <v>1</v>
      </c>
      <c r="D265" t="s">
        <v>29</v>
      </c>
    </row>
    <row r="266" spans="1:4" ht="15.75">
      <c r="A266" s="567" t="s">
        <v>483</v>
      </c>
      <c r="B266" s="567" t="s">
        <v>483</v>
      </c>
      <c r="C266" s="575">
        <v>0</v>
      </c>
      <c r="D266" s="567" t="s">
        <v>483</v>
      </c>
    </row>
    <row r="267" spans="1:4" ht="15.75">
      <c r="A267" s="567" t="s">
        <v>483</v>
      </c>
      <c r="B267" s="567" t="s">
        <v>483</v>
      </c>
      <c r="C267" s="575">
        <v>0</v>
      </c>
      <c r="D267" s="567" t="s">
        <v>483</v>
      </c>
    </row>
    <row r="268" spans="1:4" ht="15.75">
      <c r="A268" s="567" t="s">
        <v>483</v>
      </c>
      <c r="B268" s="567" t="s">
        <v>483</v>
      </c>
      <c r="C268" s="575">
        <v>0</v>
      </c>
      <c r="D268" s="567" t="s">
        <v>483</v>
      </c>
    </row>
    <row r="269" spans="1:4" ht="15.75">
      <c r="A269" s="567" t="s">
        <v>483</v>
      </c>
      <c r="B269" s="567" t="s">
        <v>483</v>
      </c>
      <c r="C269" s="575">
        <v>0</v>
      </c>
      <c r="D269" s="567" t="s">
        <v>483</v>
      </c>
    </row>
  </sheetData>
  <sheetProtection algorithmName="SHA-512" hashValue="LGVnLISC1qI+rK9+ZdxEk72yALmnTSyW4AAMRhTpomzudna3/1GUwu0f0rMWamUcofhu+P/2uRhy4Xm9FKo40Q==" saltValue="7nqY9n63QnY01yOtknAqrw==" spinCount="100000" sheet="1" objects="1" scenarios="1"/>
  <sortState xmlns:xlrd2="http://schemas.microsoft.com/office/spreadsheetml/2017/richdata2" ref="A93:F98">
    <sortCondition ref="A93:A98"/>
  </sortState>
  <mergeCells count="4">
    <mergeCell ref="A101:D101"/>
    <mergeCell ref="A116:D116"/>
    <mergeCell ref="A159:D159"/>
    <mergeCell ref="A2:F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Q206"/>
  <sheetViews>
    <sheetView zoomScale="80" zoomScaleNormal="80" workbookViewId="0">
      <pane ySplit="5" topLeftCell="A6" activePane="bottomLeft" state="frozen"/>
      <selection pane="bottomLeft" activeCell="C5" sqref="C5:E5"/>
    </sheetView>
  </sheetViews>
  <sheetFormatPr defaultColWidth="9.140625" defaultRowHeight="18.75"/>
  <cols>
    <col min="1" max="1" width="42.42578125" style="145" bestFit="1" customWidth="1"/>
    <col min="2" max="2" width="2.42578125" style="145" customWidth="1"/>
    <col min="3" max="3" width="14.42578125" style="145" bestFit="1" customWidth="1"/>
    <col min="4" max="4" width="8.7109375" style="145" customWidth="1"/>
    <col min="5" max="5" width="17" style="145" bestFit="1" customWidth="1"/>
    <col min="6" max="6" width="2.42578125" style="145" customWidth="1"/>
    <col min="7" max="7" width="14.42578125" style="145" bestFit="1" customWidth="1"/>
    <col min="8" max="8" width="8.7109375" style="145" customWidth="1"/>
    <col min="9" max="9" width="17" style="145" customWidth="1"/>
    <col min="10" max="10" width="2.42578125" style="145" customWidth="1"/>
    <col min="11" max="11" width="14.42578125" style="145" bestFit="1" customWidth="1"/>
    <col min="12" max="12" width="8.7109375" style="145" customWidth="1"/>
    <col min="13" max="13" width="17" style="145" customWidth="1"/>
    <col min="14" max="14" width="15.7109375" style="145" hidden="1" customWidth="1"/>
    <col min="15" max="15" width="17.7109375" style="145" hidden="1" customWidth="1"/>
    <col min="16" max="16" width="15.7109375" style="145" hidden="1" customWidth="1"/>
    <col min="17" max="17" width="17.7109375" style="145" hidden="1" customWidth="1"/>
    <col min="18" max="18" width="15.7109375" style="145" hidden="1" customWidth="1"/>
    <col min="19" max="19" width="17.7109375" style="145" hidden="1" customWidth="1"/>
    <col min="20" max="20" width="10.140625" style="145" customWidth="1"/>
    <col min="21" max="21" width="9.140625" style="145"/>
    <col min="22" max="22" width="12.28515625" style="145" bestFit="1" customWidth="1"/>
    <col min="23" max="23" width="25.5703125" style="145" hidden="1" customWidth="1"/>
    <col min="24" max="24" width="0" style="145" hidden="1" customWidth="1"/>
    <col min="25" max="25" width="26.28515625" style="145" hidden="1" customWidth="1"/>
    <col min="26" max="26" width="0" style="145" hidden="1" customWidth="1"/>
    <col min="27" max="27" width="23.85546875" style="145" hidden="1" customWidth="1"/>
    <col min="28" max="28" width="18.28515625" style="145" hidden="1" customWidth="1"/>
    <col min="29" max="29" width="9.140625" style="145" hidden="1" customWidth="1"/>
    <col min="30" max="31" width="0" style="145" hidden="1" customWidth="1"/>
    <col min="32" max="32" width="4.7109375" style="145" hidden="1" customWidth="1"/>
    <col min="33" max="35" width="0" style="145" hidden="1" customWidth="1"/>
    <col min="36" max="37" width="4.7109375" style="145" hidden="1" customWidth="1"/>
    <col min="38" max="40" width="0" style="145" hidden="1" customWidth="1"/>
    <col min="41" max="41" width="4.7109375" style="145" hidden="1" customWidth="1"/>
    <col min="42" max="43" width="0" style="145" hidden="1" customWidth="1"/>
    <col min="44" max="16384" width="9.140625" style="145"/>
  </cols>
  <sheetData>
    <row r="1" spans="1:30" ht="15.75" customHeight="1">
      <c r="A1" s="922" t="s">
        <v>347</v>
      </c>
      <c r="B1" s="923"/>
      <c r="C1" s="923"/>
      <c r="D1" s="923"/>
      <c r="E1" s="923"/>
      <c r="F1" s="923"/>
      <c r="G1" s="923"/>
      <c r="H1" s="923"/>
      <c r="I1" s="923"/>
      <c r="J1" s="923"/>
      <c r="K1" s="923"/>
      <c r="L1" s="923"/>
      <c r="M1" s="924"/>
    </row>
    <row r="2" spans="1:30" ht="15.75" customHeight="1">
      <c r="A2" s="925"/>
      <c r="B2" s="926"/>
      <c r="C2" s="926"/>
      <c r="D2" s="926"/>
      <c r="E2" s="926"/>
      <c r="F2" s="926"/>
      <c r="G2" s="926"/>
      <c r="H2" s="926"/>
      <c r="I2" s="926"/>
      <c r="J2" s="926"/>
      <c r="K2" s="926"/>
      <c r="L2" s="926"/>
      <c r="M2" s="927"/>
      <c r="N2" s="146"/>
      <c r="O2" s="146"/>
      <c r="P2" s="146"/>
      <c r="Q2" s="146"/>
      <c r="R2" s="146"/>
      <c r="S2" s="147"/>
    </row>
    <row r="3" spans="1:30" ht="15.75" customHeight="1" thickBot="1">
      <c r="A3" s="928"/>
      <c r="B3" s="929"/>
      <c r="C3" s="929"/>
      <c r="D3" s="929"/>
      <c r="E3" s="929"/>
      <c r="F3" s="929"/>
      <c r="G3" s="929"/>
      <c r="H3" s="929"/>
      <c r="I3" s="929"/>
      <c r="J3" s="929"/>
      <c r="K3" s="929"/>
      <c r="L3" s="929"/>
      <c r="M3" s="930"/>
      <c r="N3" s="148"/>
      <c r="O3" s="148"/>
      <c r="P3" s="148"/>
      <c r="Q3" s="148"/>
      <c r="R3" s="148"/>
      <c r="S3" s="149"/>
    </row>
    <row r="4" spans="1:30" ht="19.5" thickBot="1">
      <c r="A4" s="150"/>
      <c r="B4" s="151"/>
      <c r="C4" s="152"/>
      <c r="D4" s="152"/>
      <c r="E4" s="152"/>
      <c r="F4" s="152"/>
      <c r="G4" s="152"/>
      <c r="H4" s="152"/>
      <c r="I4" s="152"/>
      <c r="J4" s="152"/>
      <c r="K4" s="152"/>
      <c r="L4" s="152"/>
      <c r="M4" s="153"/>
      <c r="N4" s="154"/>
      <c r="O4" s="154"/>
      <c r="P4" s="155"/>
      <c r="Q4" s="156"/>
      <c r="R4" s="154"/>
      <c r="S4" s="157"/>
    </row>
    <row r="5" spans="1:30" ht="21.75" thickBot="1">
      <c r="A5" s="713" t="s">
        <v>634</v>
      </c>
      <c r="B5" s="281"/>
      <c r="C5" s="931" t="s">
        <v>599</v>
      </c>
      <c r="D5" s="932"/>
      <c r="E5" s="933"/>
      <c r="F5" s="144"/>
      <c r="G5" s="931" t="s">
        <v>599</v>
      </c>
      <c r="H5" s="932"/>
      <c r="I5" s="933"/>
      <c r="J5" s="144"/>
      <c r="K5" s="931" t="s">
        <v>599</v>
      </c>
      <c r="L5" s="932"/>
      <c r="M5" s="933"/>
      <c r="N5" s="938" t="s">
        <v>120</v>
      </c>
      <c r="O5" s="937"/>
      <c r="P5" s="936" t="s">
        <v>119</v>
      </c>
      <c r="Q5" s="937"/>
      <c r="R5" s="936" t="s">
        <v>121</v>
      </c>
      <c r="S5" s="939"/>
      <c r="AB5" s="145" t="s">
        <v>308</v>
      </c>
    </row>
    <row r="6" spans="1:30" ht="16.5" customHeight="1">
      <c r="A6" s="480" t="s">
        <v>123</v>
      </c>
      <c r="B6" s="158"/>
      <c r="C6" s="297"/>
      <c r="D6" s="8"/>
      <c r="E6" s="269"/>
      <c r="F6" s="159"/>
      <c r="G6" s="297"/>
      <c r="H6" s="8"/>
      <c r="I6" s="269"/>
      <c r="J6" s="159"/>
      <c r="K6" s="297"/>
      <c r="L6" s="8"/>
      <c r="M6" s="160"/>
      <c r="N6" s="154"/>
      <c r="O6" s="161"/>
      <c r="P6" s="155"/>
      <c r="Q6" s="161"/>
      <c r="R6" s="155"/>
      <c r="S6" s="162"/>
      <c r="U6" s="581"/>
      <c r="V6" s="581"/>
      <c r="W6" s="897" t="s">
        <v>923</v>
      </c>
      <c r="X6" s="897"/>
      <c r="Y6" s="897"/>
      <c r="Z6" s="897"/>
      <c r="AA6" s="897"/>
      <c r="AB6" s="145" t="s">
        <v>306</v>
      </c>
    </row>
    <row r="7" spans="1:30" ht="16.5" customHeight="1">
      <c r="A7" s="277" t="s">
        <v>269</v>
      </c>
      <c r="B7" s="140"/>
      <c r="C7" s="366" t="s">
        <v>128</v>
      </c>
      <c r="D7" s="99"/>
      <c r="E7" s="163"/>
      <c r="F7" s="164"/>
      <c r="G7" s="366" t="s">
        <v>128</v>
      </c>
      <c r="H7" s="99"/>
      <c r="I7" s="163"/>
      <c r="J7" s="164"/>
      <c r="K7" s="366" t="s">
        <v>128</v>
      </c>
      <c r="L7" s="8"/>
      <c r="M7" s="160"/>
      <c r="N7" s="154"/>
      <c r="O7" s="161"/>
      <c r="P7" s="155"/>
      <c r="Q7" s="161"/>
      <c r="R7" s="155"/>
      <c r="S7" s="162"/>
      <c r="U7" s="581"/>
      <c r="V7" s="581"/>
      <c r="W7" s="942" t="s">
        <v>922</v>
      </c>
      <c r="X7" s="942"/>
      <c r="Y7" s="942"/>
      <c r="Z7" s="942"/>
      <c r="AA7" s="942"/>
      <c r="AB7" s="145" t="s">
        <v>307</v>
      </c>
    </row>
    <row r="8" spans="1:30">
      <c r="A8" s="364" t="s">
        <v>252</v>
      </c>
      <c r="B8" s="2"/>
      <c r="C8" s="367">
        <v>0</v>
      </c>
      <c r="D8" s="368"/>
      <c r="E8" s="369"/>
      <c r="F8" s="370"/>
      <c r="G8" s="367">
        <v>0</v>
      </c>
      <c r="H8" s="368"/>
      <c r="I8" s="369"/>
      <c r="J8" s="370"/>
      <c r="K8" s="367">
        <v>0</v>
      </c>
      <c r="L8" s="371"/>
      <c r="M8" s="372"/>
      <c r="N8" s="166" t="e">
        <f>#REF!+#REF!</f>
        <v>#REF!</v>
      </c>
      <c r="O8" s="167"/>
      <c r="P8" s="168" t="e">
        <f>#REF!+#REF!</f>
        <v>#REF!</v>
      </c>
      <c r="Q8" s="167"/>
      <c r="R8" s="168" t="e">
        <f>#REF!+#REF!</f>
        <v>#REF!</v>
      </c>
      <c r="S8" s="169"/>
      <c r="U8" s="582"/>
      <c r="V8" s="582"/>
      <c r="W8" s="745" t="s">
        <v>128</v>
      </c>
      <c r="Y8" s="745" t="s">
        <v>128</v>
      </c>
      <c r="AB8" s="145" t="s">
        <v>344</v>
      </c>
    </row>
    <row r="9" spans="1:30">
      <c r="A9" s="364" t="s">
        <v>122</v>
      </c>
      <c r="B9" s="2"/>
      <c r="C9" s="373">
        <v>0</v>
      </c>
      <c r="D9" s="373" t="s">
        <v>597</v>
      </c>
      <c r="E9" s="711" t="s">
        <v>598</v>
      </c>
      <c r="F9" s="374"/>
      <c r="G9" s="373">
        <v>0</v>
      </c>
      <c r="H9" s="373" t="s">
        <v>597</v>
      </c>
      <c r="I9" s="711" t="s">
        <v>598</v>
      </c>
      <c r="J9" s="374"/>
      <c r="K9" s="373">
        <v>0</v>
      </c>
      <c r="L9" s="373" t="s">
        <v>597</v>
      </c>
      <c r="M9" s="712" t="s">
        <v>598</v>
      </c>
      <c r="N9" s="75">
        <v>4</v>
      </c>
      <c r="O9" s="73" t="s">
        <v>16</v>
      </c>
      <c r="P9" s="76">
        <v>30</v>
      </c>
      <c r="Q9" s="73" t="s">
        <v>16</v>
      </c>
      <c r="R9" s="76">
        <v>22</v>
      </c>
      <c r="S9" s="74" t="s">
        <v>124</v>
      </c>
      <c r="U9" s="582"/>
      <c r="V9" s="582"/>
      <c r="W9" s="472" t="s">
        <v>899</v>
      </c>
      <c r="X9" s="12"/>
      <c r="Y9" s="472" t="s">
        <v>900</v>
      </c>
      <c r="Z9" s="12"/>
      <c r="AA9" s="472" t="s">
        <v>898</v>
      </c>
      <c r="AB9" s="145" t="s">
        <v>345</v>
      </c>
    </row>
    <row r="10" spans="1:30">
      <c r="A10" s="365" t="s">
        <v>110</v>
      </c>
      <c r="B10" s="142"/>
      <c r="C10" s="373">
        <v>1</v>
      </c>
      <c r="D10" s="374" t="s">
        <v>110</v>
      </c>
      <c r="E10" s="376"/>
      <c r="F10" s="377"/>
      <c r="G10" s="373">
        <v>1</v>
      </c>
      <c r="H10" s="374" t="s">
        <v>110</v>
      </c>
      <c r="I10" s="376"/>
      <c r="J10" s="377"/>
      <c r="K10" s="373">
        <v>1</v>
      </c>
      <c r="L10" s="374" t="s">
        <v>110</v>
      </c>
      <c r="M10" s="378"/>
      <c r="N10" s="11">
        <v>50</v>
      </c>
      <c r="O10" s="12" t="s">
        <v>110</v>
      </c>
      <c r="P10" s="78">
        <v>50</v>
      </c>
      <c r="Q10" s="77" t="s">
        <v>110</v>
      </c>
      <c r="R10" s="11">
        <v>20</v>
      </c>
      <c r="S10" s="170" t="s">
        <v>110</v>
      </c>
      <c r="U10" s="582"/>
      <c r="V10" s="737"/>
      <c r="W10" s="373">
        <v>2.5</v>
      </c>
      <c r="X10" s="11" t="s">
        <v>901</v>
      </c>
      <c r="Y10" s="373">
        <v>100</v>
      </c>
      <c r="Z10" s="472" t="s">
        <v>186</v>
      </c>
      <c r="AA10" s="739">
        <f>W10*Y10</f>
        <v>250</v>
      </c>
      <c r="AB10" s="199" t="s">
        <v>346</v>
      </c>
      <c r="AC10" s="199"/>
      <c r="AD10" s="199"/>
    </row>
    <row r="11" spans="1:30">
      <c r="A11" s="365"/>
      <c r="B11" s="142"/>
      <c r="C11" s="379"/>
      <c r="D11" s="374"/>
      <c r="E11" s="376"/>
      <c r="F11" s="377"/>
      <c r="G11" s="379"/>
      <c r="H11" s="374"/>
      <c r="I11" s="376"/>
      <c r="J11" s="377"/>
      <c r="K11" s="379"/>
      <c r="L11" s="374"/>
      <c r="M11" s="378"/>
      <c r="N11" s="11"/>
      <c r="O11" s="12"/>
      <c r="P11" s="78"/>
      <c r="Q11" s="77"/>
      <c r="R11" s="11"/>
      <c r="S11" s="170"/>
      <c r="U11" s="583"/>
      <c r="V11" s="738"/>
      <c r="W11" s="28"/>
      <c r="X11" s="28"/>
      <c r="Y11" s="28"/>
      <c r="Z11" s="28"/>
      <c r="AA11" s="28"/>
      <c r="AB11" s="199"/>
      <c r="AC11" s="199"/>
      <c r="AD11" s="199"/>
    </row>
    <row r="12" spans="1:30">
      <c r="A12" s="365" t="s">
        <v>330</v>
      </c>
      <c r="B12" s="142"/>
      <c r="C12" s="380">
        <f>'Gov''t Payments'!B34</f>
        <v>0</v>
      </c>
      <c r="D12" s="374"/>
      <c r="E12" s="376"/>
      <c r="F12" s="377"/>
      <c r="G12" s="380">
        <f>'Gov''t Payments'!C34</f>
        <v>0</v>
      </c>
      <c r="H12" s="374"/>
      <c r="I12" s="376"/>
      <c r="J12" s="377"/>
      <c r="K12" s="381">
        <f>'Gov''t Payments'!D34</f>
        <v>0</v>
      </c>
      <c r="L12" s="374"/>
      <c r="M12" s="378"/>
      <c r="N12" s="11"/>
      <c r="O12" s="12"/>
      <c r="P12" s="78"/>
      <c r="Q12" s="77"/>
      <c r="R12" s="11"/>
      <c r="S12" s="170"/>
      <c r="U12" s="583"/>
      <c r="V12" s="738"/>
      <c r="W12" s="765" t="s">
        <v>906</v>
      </c>
      <c r="AB12" s="199"/>
      <c r="AC12" s="199"/>
      <c r="AD12" s="199"/>
    </row>
    <row r="13" spans="1:30" ht="18.75" customHeight="1">
      <c r="A13" s="365" t="s">
        <v>366</v>
      </c>
      <c r="B13" s="142"/>
      <c r="C13" s="380">
        <f>'Gov''t Payments'!B60</f>
        <v>0</v>
      </c>
      <c r="D13" s="374"/>
      <c r="E13" s="376"/>
      <c r="F13" s="377"/>
      <c r="G13" s="380">
        <f>'Gov''t Payments'!C60</f>
        <v>0</v>
      </c>
      <c r="H13" s="374"/>
      <c r="I13" s="376"/>
      <c r="J13" s="377"/>
      <c r="K13" s="381">
        <f>'Gov''t Payments'!D60</f>
        <v>0</v>
      </c>
      <c r="L13" s="374"/>
      <c r="M13" s="378"/>
      <c r="N13" s="11"/>
      <c r="O13" s="12"/>
      <c r="P13" s="78"/>
      <c r="Q13" s="77"/>
      <c r="R13" s="11"/>
      <c r="S13" s="170"/>
      <c r="U13" s="583"/>
      <c r="V13" s="738"/>
      <c r="W13" s="765" t="s">
        <v>907</v>
      </c>
      <c r="AB13" s="199"/>
      <c r="AC13" s="199"/>
      <c r="AD13" s="199"/>
    </row>
    <row r="14" spans="1:30">
      <c r="A14" s="365"/>
      <c r="B14" s="142"/>
      <c r="C14" s="382"/>
      <c r="D14" s="374"/>
      <c r="E14" s="376"/>
      <c r="F14" s="377"/>
      <c r="G14" s="382"/>
      <c r="H14" s="374"/>
      <c r="I14" s="376"/>
      <c r="J14" s="377"/>
      <c r="K14" s="382"/>
      <c r="L14" s="374"/>
      <c r="M14" s="378"/>
      <c r="N14" s="11"/>
      <c r="O14" s="12"/>
      <c r="P14" s="78"/>
      <c r="Q14" s="77"/>
      <c r="R14" s="11"/>
      <c r="S14" s="170"/>
      <c r="U14" s="582"/>
      <c r="V14" s="737"/>
      <c r="W14" s="765" t="s">
        <v>908</v>
      </c>
      <c r="AB14" s="199"/>
      <c r="AC14" s="199"/>
      <c r="AD14" s="199"/>
    </row>
    <row r="15" spans="1:30">
      <c r="A15" s="934" t="s">
        <v>270</v>
      </c>
      <c r="B15" s="940"/>
      <c r="C15" s="383" t="s">
        <v>65</v>
      </c>
      <c r="D15" s="383"/>
      <c r="E15" s="384" t="s">
        <v>268</v>
      </c>
      <c r="F15" s="385"/>
      <c r="G15" s="383" t="s">
        <v>65</v>
      </c>
      <c r="H15" s="383"/>
      <c r="I15" s="384" t="s">
        <v>268</v>
      </c>
      <c r="J15" s="385"/>
      <c r="K15" s="383" t="s">
        <v>65</v>
      </c>
      <c r="L15" s="383"/>
      <c r="M15" s="386" t="s">
        <v>268</v>
      </c>
      <c r="N15" s="80" t="s">
        <v>65</v>
      </c>
      <c r="O15" s="81" t="s">
        <v>79</v>
      </c>
      <c r="P15" s="79" t="s">
        <v>65</v>
      </c>
      <c r="Q15" s="81" t="s">
        <v>79</v>
      </c>
      <c r="R15" s="79" t="s">
        <v>65</v>
      </c>
      <c r="S15" s="82" t="s">
        <v>79</v>
      </c>
      <c r="V15" s="199"/>
      <c r="AB15" s="199"/>
      <c r="AC15" s="199"/>
      <c r="AD15" s="199"/>
    </row>
    <row r="16" spans="1:30" ht="19.5" thickBot="1">
      <c r="A16" s="935"/>
      <c r="B16" s="940"/>
      <c r="C16" s="748">
        <f>C8*C9+C12+C13</f>
        <v>0</v>
      </c>
      <c r="D16" s="387"/>
      <c r="E16" s="749">
        <f>C16*$C$10</f>
        <v>0</v>
      </c>
      <c r="F16" s="374"/>
      <c r="G16" s="748">
        <f>G8*G9+G12+G13</f>
        <v>0</v>
      </c>
      <c r="H16" s="387"/>
      <c r="I16" s="750">
        <f>G16*$G$10</f>
        <v>0</v>
      </c>
      <c r="J16" s="374"/>
      <c r="K16" s="748">
        <f>K8*K9+K12+K13</f>
        <v>0</v>
      </c>
      <c r="L16" s="387"/>
      <c r="M16" s="751">
        <f>K16*$K$10</f>
        <v>0</v>
      </c>
      <c r="N16" s="171" t="e">
        <f>N8*N9</f>
        <v>#REF!</v>
      </c>
      <c r="O16" s="172" t="e">
        <f>N16*$N$10</f>
        <v>#REF!</v>
      </c>
      <c r="P16" s="173" t="e">
        <f>P8*P9</f>
        <v>#REF!</v>
      </c>
      <c r="Q16" s="172" t="e">
        <f>P16*$P$10</f>
        <v>#REF!</v>
      </c>
      <c r="R16" s="173" t="e">
        <f>R8*R9</f>
        <v>#REF!</v>
      </c>
      <c r="S16" s="174" t="e">
        <f>R16*$R$10</f>
        <v>#REF!</v>
      </c>
      <c r="V16" s="199"/>
      <c r="W16" s="942" t="s">
        <v>909</v>
      </c>
      <c r="X16" s="942"/>
      <c r="Y16" s="942"/>
      <c r="Z16" s="942"/>
      <c r="AA16" s="942"/>
      <c r="AB16" s="199"/>
      <c r="AC16" s="199"/>
      <c r="AD16" s="199"/>
    </row>
    <row r="17" spans="1:42" ht="19.5" customHeight="1" thickTop="1">
      <c r="A17" s="165"/>
      <c r="B17" s="2"/>
      <c r="C17" s="389"/>
      <c r="D17" s="377"/>
      <c r="E17" s="375"/>
      <c r="F17" s="374"/>
      <c r="G17" s="389"/>
      <c r="H17" s="377"/>
      <c r="I17" s="375"/>
      <c r="J17" s="374"/>
      <c r="K17" s="389"/>
      <c r="L17" s="377"/>
      <c r="M17" s="372"/>
      <c r="O17" s="167"/>
      <c r="P17" s="176"/>
      <c r="Q17" s="167"/>
      <c r="R17" s="176"/>
      <c r="S17" s="169"/>
      <c r="W17" s="745" t="s">
        <v>128</v>
      </c>
      <c r="Y17" s="745" t="s">
        <v>128</v>
      </c>
    </row>
    <row r="18" spans="1:42">
      <c r="A18" s="480" t="s">
        <v>309</v>
      </c>
      <c r="B18" s="177"/>
      <c r="C18" s="390"/>
      <c r="D18" s="391"/>
      <c r="E18" s="375"/>
      <c r="F18" s="374"/>
      <c r="G18" s="390"/>
      <c r="H18" s="391"/>
      <c r="I18" s="375"/>
      <c r="J18" s="374"/>
      <c r="K18" s="390"/>
      <c r="L18" s="391"/>
      <c r="M18" s="372"/>
      <c r="N18" s="178"/>
      <c r="O18" s="167"/>
      <c r="P18" s="179"/>
      <c r="Q18" s="167"/>
      <c r="R18" s="179"/>
      <c r="S18" s="169"/>
      <c r="W18" s="472" t="s">
        <v>910</v>
      </c>
      <c r="X18" s="12"/>
      <c r="Y18" s="472" t="s">
        <v>911</v>
      </c>
      <c r="AE18" s="612"/>
      <c r="AF18" s="612"/>
      <c r="AG18" s="612"/>
      <c r="AH18" s="612"/>
      <c r="AI18" s="612"/>
      <c r="AJ18" s="612"/>
      <c r="AK18" s="612"/>
      <c r="AL18" s="612"/>
      <c r="AM18" s="612"/>
      <c r="AN18" s="612"/>
      <c r="AO18" s="612"/>
      <c r="AP18" s="612"/>
    </row>
    <row r="19" spans="1:42">
      <c r="A19" s="541" t="s">
        <v>412</v>
      </c>
      <c r="B19" s="117"/>
      <c r="C19" s="392" t="s">
        <v>65</v>
      </c>
      <c r="D19" s="393"/>
      <c r="E19" s="394" t="s">
        <v>268</v>
      </c>
      <c r="F19" s="385"/>
      <c r="G19" s="392" t="s">
        <v>65</v>
      </c>
      <c r="H19" s="393"/>
      <c r="I19" s="394" t="s">
        <v>268</v>
      </c>
      <c r="J19" s="385"/>
      <c r="K19" s="392" t="s">
        <v>65</v>
      </c>
      <c r="L19" s="393"/>
      <c r="M19" s="395" t="s">
        <v>268</v>
      </c>
      <c r="N19" s="178"/>
      <c r="O19" s="167"/>
      <c r="P19" s="179"/>
      <c r="Q19" s="167"/>
      <c r="R19" s="179"/>
      <c r="S19" s="169"/>
      <c r="W19" s="373">
        <v>9</v>
      </c>
      <c r="X19" s="11"/>
      <c r="Y19" s="373">
        <v>9</v>
      </c>
      <c r="AE19" s="895" t="s">
        <v>930</v>
      </c>
      <c r="AF19" s="895"/>
      <c r="AG19" s="895"/>
      <c r="AH19" s="895"/>
      <c r="AI19" s="895"/>
      <c r="AJ19" s="895"/>
      <c r="AK19" s="895"/>
      <c r="AL19" s="895"/>
      <c r="AM19" s="895"/>
      <c r="AN19" s="895"/>
      <c r="AO19" s="895"/>
      <c r="AP19" s="895"/>
    </row>
    <row r="20" spans="1:42">
      <c r="A20" s="425" t="s">
        <v>80</v>
      </c>
      <c r="B20" s="180"/>
      <c r="C20" s="396">
        <f>'Variable &amp; Fixed'!G6</f>
        <v>0</v>
      </c>
      <c r="D20" s="397">
        <f t="shared" ref="D20:D45" si="0">C20</f>
        <v>0</v>
      </c>
      <c r="E20" s="398">
        <f t="shared" ref="E20" si="1">C20*$C$10</f>
        <v>0</v>
      </c>
      <c r="F20" s="374"/>
      <c r="G20" s="399">
        <f>'Variable &amp; Fixed'!L6</f>
        <v>0</v>
      </c>
      <c r="H20" s="400">
        <f t="shared" ref="H20:H45" si="2">G20</f>
        <v>0</v>
      </c>
      <c r="I20" s="396">
        <f t="shared" ref="I20:I28" si="3">G20*$G$10</f>
        <v>0</v>
      </c>
      <c r="J20" s="374"/>
      <c r="K20" s="399">
        <f>'Variable &amp; Fixed'!R6</f>
        <v>0</v>
      </c>
      <c r="L20" s="400">
        <f t="shared" ref="L20:L45" si="4">K20</f>
        <v>0</v>
      </c>
      <c r="M20" s="401">
        <f t="shared" ref="M20:M28" si="5">K20*$K$10</f>
        <v>0</v>
      </c>
      <c r="N20" s="181" t="e">
        <f>#REF!</f>
        <v>#REF!</v>
      </c>
      <c r="O20" s="182" t="e">
        <f>N20*$C$10</f>
        <v>#REF!</v>
      </c>
      <c r="P20" s="183" t="e">
        <f>#REF!</f>
        <v>#REF!</v>
      </c>
      <c r="Q20" s="182" t="e">
        <f>P20*$C$10</f>
        <v>#REF!</v>
      </c>
      <c r="R20" s="183" t="e">
        <f>#REF!</f>
        <v>#REF!</v>
      </c>
      <c r="S20" s="184" t="e">
        <f>R20*$C$10</f>
        <v>#REF!</v>
      </c>
      <c r="T20" s="185"/>
      <c r="AE20" s="612"/>
      <c r="AF20" s="612"/>
      <c r="AG20" s="612"/>
      <c r="AH20" s="612"/>
      <c r="AI20" s="612"/>
      <c r="AJ20" s="612"/>
      <c r="AK20" s="612"/>
      <c r="AL20" s="612"/>
      <c r="AM20" s="612"/>
      <c r="AN20" s="612"/>
      <c r="AO20" s="612"/>
      <c r="AP20" s="612"/>
    </row>
    <row r="21" spans="1:42">
      <c r="A21" s="364" t="s">
        <v>81</v>
      </c>
      <c r="B21" s="180"/>
      <c r="C21" s="396">
        <f>'Fertilizer Plan'!G174</f>
        <v>0</v>
      </c>
      <c r="D21" s="397">
        <f t="shared" si="0"/>
        <v>0</v>
      </c>
      <c r="E21" s="398">
        <f t="shared" ref="E21:E28" si="6">C21*$C$10</f>
        <v>0</v>
      </c>
      <c r="F21" s="374"/>
      <c r="G21" s="399">
        <f>'Fertilizer Plan'!S174</f>
        <v>0</v>
      </c>
      <c r="H21" s="400">
        <f t="shared" si="2"/>
        <v>0</v>
      </c>
      <c r="I21" s="396">
        <f t="shared" si="3"/>
        <v>0</v>
      </c>
      <c r="J21" s="374"/>
      <c r="K21" s="399">
        <f>'Fertilizer Plan'!AE174</f>
        <v>0</v>
      </c>
      <c r="L21" s="400">
        <f t="shared" si="4"/>
        <v>0</v>
      </c>
      <c r="M21" s="401">
        <f t="shared" si="5"/>
        <v>0</v>
      </c>
      <c r="N21" s="186">
        <v>0</v>
      </c>
      <c r="O21" s="187">
        <f>N21*$C$10</f>
        <v>0</v>
      </c>
      <c r="P21" s="188">
        <v>0</v>
      </c>
      <c r="Q21" s="187">
        <f>P21*$C$10</f>
        <v>0</v>
      </c>
      <c r="R21" s="188">
        <v>0</v>
      </c>
      <c r="S21" s="189">
        <f>R21*$C$10</f>
        <v>0</v>
      </c>
      <c r="T21" s="185"/>
      <c r="W21" s="11" t="s">
        <v>912</v>
      </c>
      <c r="X21" s="11"/>
      <c r="Y21" s="11" t="s">
        <v>913</v>
      </c>
      <c r="Z21" s="12"/>
      <c r="AA21" s="472" t="s">
        <v>914</v>
      </c>
      <c r="AE21" s="612"/>
      <c r="AF21" s="612"/>
      <c r="AG21" s="612"/>
      <c r="AH21" s="612"/>
      <c r="AI21" s="612"/>
      <c r="AJ21" s="899" t="s">
        <v>928</v>
      </c>
      <c r="AK21" s="899"/>
      <c r="AL21" s="612"/>
      <c r="AM21" s="612"/>
      <c r="AN21" s="612"/>
      <c r="AO21" s="612"/>
      <c r="AP21" s="612"/>
    </row>
    <row r="22" spans="1:42" ht="19.5" thickBot="1">
      <c r="A22" s="364" t="s">
        <v>251</v>
      </c>
      <c r="B22" s="180"/>
      <c r="C22" s="398"/>
      <c r="D22" s="397">
        <f t="shared" si="0"/>
        <v>0</v>
      </c>
      <c r="E22" s="398"/>
      <c r="F22" s="374"/>
      <c r="G22" s="396"/>
      <c r="H22" s="400">
        <f t="shared" si="2"/>
        <v>0</v>
      </c>
      <c r="I22" s="396"/>
      <c r="J22" s="374"/>
      <c r="K22" s="396"/>
      <c r="L22" s="400">
        <f t="shared" si="4"/>
        <v>0</v>
      </c>
      <c r="M22" s="401"/>
      <c r="N22" s="186"/>
      <c r="O22" s="187"/>
      <c r="P22" s="188"/>
      <c r="Q22" s="187"/>
      <c r="R22" s="188"/>
      <c r="S22" s="189"/>
      <c r="T22" s="185"/>
      <c r="W22" s="295">
        <f>(W19/12)+W10</f>
        <v>3.25</v>
      </c>
      <c r="X22" s="11" t="s">
        <v>901</v>
      </c>
      <c r="Y22" s="295">
        <f>(Y19/12)+Y10</f>
        <v>100.75</v>
      </c>
      <c r="Z22" s="472" t="s">
        <v>186</v>
      </c>
      <c r="AA22" s="739">
        <f>W22*Y22</f>
        <v>327.4375</v>
      </c>
      <c r="AE22" s="615"/>
      <c r="AF22" s="612"/>
      <c r="AG22" s="612"/>
      <c r="AH22" s="612"/>
      <c r="AI22" s="612"/>
      <c r="AJ22" s="900"/>
      <c r="AK22" s="900"/>
      <c r="AL22" s="612"/>
      <c r="AM22" s="612"/>
      <c r="AN22" s="612"/>
      <c r="AO22" s="612"/>
      <c r="AP22" s="612"/>
    </row>
    <row r="23" spans="1:42" ht="19.5" thickBot="1">
      <c r="A23" s="733" t="s">
        <v>253</v>
      </c>
      <c r="B23" s="734"/>
      <c r="C23" s="396">
        <f>'Chemical Plan'!H19+'Chemical Plan'!H40</f>
        <v>0</v>
      </c>
      <c r="D23" s="397">
        <f t="shared" si="0"/>
        <v>0</v>
      </c>
      <c r="E23" s="398">
        <f>C23*$C$10</f>
        <v>0</v>
      </c>
      <c r="F23" s="374"/>
      <c r="G23" s="399">
        <f>'Chemical Plan'!R19+'Chemical Plan'!R40</f>
        <v>0</v>
      </c>
      <c r="H23" s="400">
        <f t="shared" si="2"/>
        <v>0</v>
      </c>
      <c r="I23" s="396">
        <f>G23*$G$10</f>
        <v>0</v>
      </c>
      <c r="J23" s="374"/>
      <c r="K23" s="399">
        <f>'Chemical Plan'!AB19+'Chemical Plan'!AB40</f>
        <v>0</v>
      </c>
      <c r="L23" s="400">
        <f t="shared" si="4"/>
        <v>0</v>
      </c>
      <c r="M23" s="401">
        <f>K23*$K$10</f>
        <v>0</v>
      </c>
      <c r="N23" s="186"/>
      <c r="O23" s="187"/>
      <c r="P23" s="188"/>
      <c r="Q23" s="187"/>
      <c r="R23" s="188"/>
      <c r="S23" s="189"/>
      <c r="T23" s="185"/>
      <c r="AE23" s="615"/>
      <c r="AF23" s="752"/>
      <c r="AG23" s="753"/>
      <c r="AH23" s="774" t="s">
        <v>927</v>
      </c>
      <c r="AI23" s="753"/>
      <c r="AJ23" s="766"/>
      <c r="AK23" s="767"/>
      <c r="AL23" s="753"/>
      <c r="AM23" s="774" t="s">
        <v>927</v>
      </c>
      <c r="AN23" s="753"/>
      <c r="AO23" s="754"/>
      <c r="AP23" s="612"/>
    </row>
    <row r="24" spans="1:42">
      <c r="A24" s="733" t="s">
        <v>111</v>
      </c>
      <c r="B24" s="734"/>
      <c r="C24" s="396">
        <f>'Chemical Plan'!H58</f>
        <v>0</v>
      </c>
      <c r="D24" s="397">
        <f t="shared" si="0"/>
        <v>0</v>
      </c>
      <c r="E24" s="398">
        <f t="shared" si="6"/>
        <v>0</v>
      </c>
      <c r="F24" s="374"/>
      <c r="G24" s="399">
        <f>'Chemical Plan'!R58</f>
        <v>0</v>
      </c>
      <c r="H24" s="400">
        <f t="shared" si="2"/>
        <v>0</v>
      </c>
      <c r="I24" s="396">
        <f t="shared" si="3"/>
        <v>0</v>
      </c>
      <c r="J24" s="374"/>
      <c r="K24" s="399">
        <f>'Chemical Plan'!AB58</f>
        <v>0</v>
      </c>
      <c r="L24" s="400">
        <f t="shared" si="4"/>
        <v>0</v>
      </c>
      <c r="M24" s="401">
        <f t="shared" si="5"/>
        <v>0</v>
      </c>
      <c r="N24" s="186"/>
      <c r="O24" s="187"/>
      <c r="P24" s="188"/>
      <c r="Q24" s="187"/>
      <c r="R24" s="188"/>
      <c r="S24" s="189"/>
      <c r="T24" s="185"/>
      <c r="W24" s="739" t="s">
        <v>902</v>
      </c>
      <c r="X24" s="12"/>
      <c r="Y24" s="739" t="s">
        <v>915</v>
      </c>
      <c r="Z24" s="12"/>
      <c r="AA24" s="11" t="s">
        <v>904</v>
      </c>
      <c r="AE24" s="615"/>
      <c r="AF24" s="755"/>
      <c r="AG24" s="904" t="s">
        <v>926</v>
      </c>
      <c r="AH24" s="760"/>
      <c r="AI24" s="761"/>
      <c r="AJ24" s="768"/>
      <c r="AK24" s="769"/>
      <c r="AL24" s="904" t="s">
        <v>926</v>
      </c>
      <c r="AM24" s="760"/>
      <c r="AN24" s="761"/>
      <c r="AO24" s="756"/>
      <c r="AP24" s="612"/>
    </row>
    <row r="25" spans="1:42">
      <c r="A25" s="733" t="s">
        <v>138</v>
      </c>
      <c r="B25" s="734"/>
      <c r="C25" s="396">
        <f>'Chemical Plan'!H74</f>
        <v>0</v>
      </c>
      <c r="D25" s="397">
        <f t="shared" si="0"/>
        <v>0</v>
      </c>
      <c r="E25" s="398">
        <f t="shared" si="6"/>
        <v>0</v>
      </c>
      <c r="F25" s="374"/>
      <c r="G25" s="399">
        <f>'Chemical Plan'!R74</f>
        <v>0</v>
      </c>
      <c r="H25" s="400">
        <f t="shared" si="2"/>
        <v>0</v>
      </c>
      <c r="I25" s="396">
        <f t="shared" si="3"/>
        <v>0</v>
      </c>
      <c r="J25" s="374"/>
      <c r="K25" s="399">
        <f>'Chemical Plan'!AB74</f>
        <v>0</v>
      </c>
      <c r="L25" s="400">
        <f t="shared" si="4"/>
        <v>0</v>
      </c>
      <c r="M25" s="401">
        <f t="shared" si="5"/>
        <v>0</v>
      </c>
      <c r="N25" s="186"/>
      <c r="O25" s="187"/>
      <c r="P25" s="188"/>
      <c r="Q25" s="187"/>
      <c r="R25" s="188"/>
      <c r="S25" s="189"/>
      <c r="T25" s="185"/>
      <c r="W25" s="741">
        <v>43560</v>
      </c>
      <c r="X25" s="740" t="s">
        <v>903</v>
      </c>
      <c r="Y25" s="739">
        <f>AA22</f>
        <v>327.4375</v>
      </c>
      <c r="Z25" s="472" t="s">
        <v>186</v>
      </c>
      <c r="AA25" s="477">
        <f>W25/Y25</f>
        <v>133.0330215690017</v>
      </c>
      <c r="AE25" s="615"/>
      <c r="AF25" s="775" t="s">
        <v>927</v>
      </c>
      <c r="AG25" s="905"/>
      <c r="AH25" s="763" t="s">
        <v>924</v>
      </c>
      <c r="AI25" s="762"/>
      <c r="AJ25" s="778" t="s">
        <v>927</v>
      </c>
      <c r="AK25" s="778" t="s">
        <v>927</v>
      </c>
      <c r="AL25" s="905"/>
      <c r="AM25" s="763" t="s">
        <v>924</v>
      </c>
      <c r="AN25" s="762"/>
      <c r="AO25" s="777" t="s">
        <v>927</v>
      </c>
      <c r="AP25" s="612"/>
    </row>
    <row r="26" spans="1:42" ht="19.5" thickBot="1">
      <c r="A26" s="364" t="s">
        <v>85</v>
      </c>
      <c r="B26" s="180"/>
      <c r="C26" s="398">
        <f>'Variable &amp; Fixed'!G7</f>
        <v>0</v>
      </c>
      <c r="D26" s="397">
        <f t="shared" si="0"/>
        <v>0</v>
      </c>
      <c r="E26" s="398">
        <f t="shared" si="6"/>
        <v>0</v>
      </c>
      <c r="F26" s="374"/>
      <c r="G26" s="396">
        <f>'Variable &amp; Fixed'!L7</f>
        <v>0</v>
      </c>
      <c r="H26" s="400">
        <f t="shared" si="2"/>
        <v>0</v>
      </c>
      <c r="I26" s="396">
        <f t="shared" si="3"/>
        <v>0</v>
      </c>
      <c r="J26" s="374"/>
      <c r="K26" s="396">
        <f>'Variable &amp; Fixed'!R7</f>
        <v>0</v>
      </c>
      <c r="L26" s="400">
        <f t="shared" si="4"/>
        <v>0</v>
      </c>
      <c r="M26" s="401">
        <f t="shared" si="5"/>
        <v>0</v>
      </c>
      <c r="N26" s="186"/>
      <c r="O26" s="187"/>
      <c r="P26" s="188"/>
      <c r="Q26" s="187"/>
      <c r="R26" s="188"/>
      <c r="S26" s="189"/>
      <c r="T26" s="185"/>
      <c r="AE26" s="615"/>
      <c r="AF26" s="755"/>
      <c r="AG26" s="906"/>
      <c r="AH26" s="902" t="s">
        <v>925</v>
      </c>
      <c r="AI26" s="903"/>
      <c r="AJ26" s="768"/>
      <c r="AK26" s="769"/>
      <c r="AL26" s="906"/>
      <c r="AM26" s="902" t="s">
        <v>925</v>
      </c>
      <c r="AN26" s="903"/>
      <c r="AO26" s="756"/>
      <c r="AP26" s="612"/>
    </row>
    <row r="27" spans="1:42" ht="19.5" thickBot="1">
      <c r="A27" s="364" t="s">
        <v>247</v>
      </c>
      <c r="B27" s="180"/>
      <c r="C27" s="398">
        <f>'Variable &amp; Fixed'!G8</f>
        <v>0</v>
      </c>
      <c r="D27" s="397">
        <f t="shared" si="0"/>
        <v>0</v>
      </c>
      <c r="E27" s="398">
        <f t="shared" si="6"/>
        <v>0</v>
      </c>
      <c r="F27" s="374"/>
      <c r="G27" s="396">
        <f>'Variable &amp; Fixed'!L8</f>
        <v>0</v>
      </c>
      <c r="H27" s="400">
        <f t="shared" si="2"/>
        <v>0</v>
      </c>
      <c r="I27" s="396">
        <f t="shared" si="3"/>
        <v>0</v>
      </c>
      <c r="J27" s="374"/>
      <c r="K27" s="396">
        <f>'Variable &amp; Fixed'!R8</f>
        <v>0</v>
      </c>
      <c r="L27" s="400">
        <f t="shared" si="4"/>
        <v>0</v>
      </c>
      <c r="M27" s="401">
        <f t="shared" si="5"/>
        <v>0</v>
      </c>
      <c r="N27" s="190"/>
      <c r="O27" s="187"/>
      <c r="P27" s="191"/>
      <c r="Q27" s="187"/>
      <c r="R27" s="191"/>
      <c r="S27" s="189"/>
      <c r="T27" s="185"/>
      <c r="W27" s="921" t="s">
        <v>932</v>
      </c>
      <c r="X27" s="921"/>
      <c r="Y27" s="921"/>
      <c r="Z27" s="921"/>
      <c r="AA27" s="921"/>
      <c r="AE27" s="896" t="s">
        <v>928</v>
      </c>
      <c r="AF27" s="779"/>
      <c r="AG27" s="780"/>
      <c r="AH27" s="781" t="s">
        <v>927</v>
      </c>
      <c r="AI27" s="780"/>
      <c r="AJ27" s="786"/>
      <c r="AK27" s="787"/>
      <c r="AL27" s="780"/>
      <c r="AM27" s="781" t="s">
        <v>927</v>
      </c>
      <c r="AN27" s="780"/>
      <c r="AO27" s="785"/>
      <c r="AP27" s="898" t="s">
        <v>928</v>
      </c>
    </row>
    <row r="28" spans="1:42" ht="18.75" customHeight="1" thickBot="1">
      <c r="A28" s="364" t="s">
        <v>91</v>
      </c>
      <c r="B28" s="180"/>
      <c r="C28" s="398">
        <f>'Variable &amp; Fixed'!G9</f>
        <v>0</v>
      </c>
      <c r="D28" s="397">
        <f t="shared" si="0"/>
        <v>0</v>
      </c>
      <c r="E28" s="398">
        <f t="shared" si="6"/>
        <v>0</v>
      </c>
      <c r="F28" s="374"/>
      <c r="G28" s="396">
        <f>'Variable &amp; Fixed'!L9</f>
        <v>0</v>
      </c>
      <c r="H28" s="400">
        <f t="shared" si="2"/>
        <v>0</v>
      </c>
      <c r="I28" s="396">
        <f t="shared" si="3"/>
        <v>0</v>
      </c>
      <c r="J28" s="374"/>
      <c r="K28" s="396">
        <f>'Variable &amp; Fixed'!R9</f>
        <v>0</v>
      </c>
      <c r="L28" s="400">
        <f t="shared" si="4"/>
        <v>0</v>
      </c>
      <c r="M28" s="401">
        <f t="shared" si="5"/>
        <v>0</v>
      </c>
      <c r="N28" s="190" t="e">
        <f>'Variable &amp; Fixed'!#REF!</f>
        <v>#REF!</v>
      </c>
      <c r="O28" s="187" t="e">
        <f>N28*$C$10</f>
        <v>#REF!</v>
      </c>
      <c r="P28" s="191" t="e">
        <f>'Variable &amp; Fixed'!#REF!</f>
        <v>#REF!</v>
      </c>
      <c r="Q28" s="187" t="e">
        <f>P28*$C$10</f>
        <v>#REF!</v>
      </c>
      <c r="R28" s="191" t="e">
        <f>'Variable &amp; Fixed'!#REF!</f>
        <v>#REF!</v>
      </c>
      <c r="S28" s="189" t="e">
        <f>R28*$C$10</f>
        <v>#REF!</v>
      </c>
      <c r="T28" s="185"/>
      <c r="W28" s="921"/>
      <c r="X28" s="921"/>
      <c r="Y28" s="921"/>
      <c r="Z28" s="921"/>
      <c r="AA28" s="921"/>
      <c r="AE28" s="896"/>
      <c r="AF28" s="784"/>
      <c r="AG28" s="782"/>
      <c r="AH28" s="781" t="s">
        <v>927</v>
      </c>
      <c r="AI28" s="782"/>
      <c r="AJ28" s="788"/>
      <c r="AK28" s="789"/>
      <c r="AL28" s="782"/>
      <c r="AM28" s="781" t="s">
        <v>927</v>
      </c>
      <c r="AN28" s="782"/>
      <c r="AO28" s="783"/>
      <c r="AP28" s="898"/>
    </row>
    <row r="29" spans="1:42">
      <c r="A29" s="364" t="s">
        <v>87</v>
      </c>
      <c r="B29" s="180"/>
      <c r="C29" s="398"/>
      <c r="D29" s="397">
        <f t="shared" si="0"/>
        <v>0</v>
      </c>
      <c r="E29" s="398"/>
      <c r="F29" s="374"/>
      <c r="G29" s="396"/>
      <c r="H29" s="400">
        <f t="shared" si="2"/>
        <v>0</v>
      </c>
      <c r="I29" s="396"/>
      <c r="J29" s="374"/>
      <c r="K29" s="396"/>
      <c r="L29" s="400">
        <f t="shared" si="4"/>
        <v>0</v>
      </c>
      <c r="M29" s="401"/>
      <c r="N29" s="190" t="e">
        <f>'Variable &amp; Fixed'!#REF!</f>
        <v>#REF!</v>
      </c>
      <c r="O29" s="187" t="e">
        <f>N29*$C$10</f>
        <v>#REF!</v>
      </c>
      <c r="P29" s="191" t="e">
        <f>'Variable &amp; Fixed'!#REF!</f>
        <v>#REF!</v>
      </c>
      <c r="Q29" s="187" t="e">
        <f>P29*$C$10</f>
        <v>#REF!</v>
      </c>
      <c r="R29" s="191" t="e">
        <f>'Variable &amp; Fixed'!#REF!</f>
        <v>#REF!</v>
      </c>
      <c r="S29" s="189" t="e">
        <f>R29*$C$10</f>
        <v>#REF!</v>
      </c>
      <c r="T29" s="185"/>
      <c r="AE29" s="612"/>
      <c r="AF29" s="755"/>
      <c r="AG29" s="904" t="s">
        <v>926</v>
      </c>
      <c r="AH29" s="760"/>
      <c r="AI29" s="761"/>
      <c r="AJ29" s="770"/>
      <c r="AK29" s="769"/>
      <c r="AL29" s="904" t="s">
        <v>926</v>
      </c>
      <c r="AM29" s="760"/>
      <c r="AN29" s="761"/>
      <c r="AO29" s="756"/>
      <c r="AP29" s="612"/>
    </row>
    <row r="30" spans="1:42">
      <c r="A30" s="733" t="s">
        <v>88</v>
      </c>
      <c r="B30" s="192"/>
      <c r="C30" s="398">
        <f>'Variable &amp; Fixed'!G11</f>
        <v>0</v>
      </c>
      <c r="D30" s="397">
        <f t="shared" si="0"/>
        <v>0</v>
      </c>
      <c r="E30" s="398">
        <f>C30*$C$10</f>
        <v>0</v>
      </c>
      <c r="F30" s="374"/>
      <c r="G30" s="396">
        <f>'Variable &amp; Fixed'!L11</f>
        <v>0</v>
      </c>
      <c r="H30" s="400">
        <f t="shared" si="2"/>
        <v>0</v>
      </c>
      <c r="I30" s="396">
        <f t="shared" ref="I30:I45" si="7">G30*$G$10</f>
        <v>0</v>
      </c>
      <c r="J30" s="374"/>
      <c r="K30" s="396">
        <f>'Variable &amp; Fixed'!R11</f>
        <v>0</v>
      </c>
      <c r="L30" s="400">
        <f t="shared" si="4"/>
        <v>0</v>
      </c>
      <c r="M30" s="401">
        <f t="shared" ref="M30:M57" si="8">K30*$K$10</f>
        <v>0</v>
      </c>
      <c r="N30" s="186">
        <v>0</v>
      </c>
      <c r="O30" s="187">
        <f>N30*$C$10</f>
        <v>0</v>
      </c>
      <c r="P30" s="188">
        <v>0</v>
      </c>
      <c r="Q30" s="187">
        <f>P30*$C$10</f>
        <v>0</v>
      </c>
      <c r="R30" s="188">
        <v>0</v>
      </c>
      <c r="S30" s="189">
        <f>R30*$C$10</f>
        <v>0</v>
      </c>
      <c r="T30" s="185"/>
      <c r="W30" s="941" t="s">
        <v>917</v>
      </c>
      <c r="X30" s="941"/>
      <c r="Y30" s="941"/>
      <c r="Z30" s="941"/>
      <c r="AA30" s="941"/>
      <c r="AE30" s="612"/>
      <c r="AF30" s="775" t="s">
        <v>927</v>
      </c>
      <c r="AG30" s="905"/>
      <c r="AH30" s="763" t="s">
        <v>924</v>
      </c>
      <c r="AI30" s="762"/>
      <c r="AJ30" s="778" t="s">
        <v>927</v>
      </c>
      <c r="AK30" s="778" t="s">
        <v>927</v>
      </c>
      <c r="AL30" s="905"/>
      <c r="AM30" s="763" t="s">
        <v>924</v>
      </c>
      <c r="AN30" s="762"/>
      <c r="AO30" s="777" t="s">
        <v>927</v>
      </c>
      <c r="AP30" s="612"/>
    </row>
    <row r="31" spans="1:42" ht="18.75" customHeight="1" thickBot="1">
      <c r="A31" s="733" t="s">
        <v>89</v>
      </c>
      <c r="B31" s="192"/>
      <c r="C31" s="398">
        <f>'Variable &amp; Fixed'!G12</f>
        <v>0</v>
      </c>
      <c r="D31" s="397">
        <f t="shared" si="0"/>
        <v>0</v>
      </c>
      <c r="E31" s="398">
        <f>C31*$C$10</f>
        <v>0</v>
      </c>
      <c r="F31" s="374"/>
      <c r="G31" s="396">
        <f>'Variable &amp; Fixed'!L12</f>
        <v>0</v>
      </c>
      <c r="H31" s="400">
        <f t="shared" si="2"/>
        <v>0</v>
      </c>
      <c r="I31" s="396">
        <f t="shared" si="7"/>
        <v>0</v>
      </c>
      <c r="J31" s="374"/>
      <c r="K31" s="396">
        <f>'Variable &amp; Fixed'!R12</f>
        <v>0</v>
      </c>
      <c r="L31" s="400">
        <f t="shared" si="4"/>
        <v>0</v>
      </c>
      <c r="M31" s="401">
        <f t="shared" si="8"/>
        <v>0</v>
      </c>
      <c r="N31" s="190"/>
      <c r="O31" s="187"/>
      <c r="P31" s="191"/>
      <c r="Q31" s="187"/>
      <c r="R31" s="191"/>
      <c r="S31" s="189"/>
      <c r="T31" s="185"/>
      <c r="W31" s="745" t="s">
        <v>128</v>
      </c>
      <c r="Y31" s="745"/>
      <c r="AE31" s="612"/>
      <c r="AF31" s="755"/>
      <c r="AG31" s="906"/>
      <c r="AH31" s="902" t="s">
        <v>925</v>
      </c>
      <c r="AI31" s="903"/>
      <c r="AJ31" s="771"/>
      <c r="AK31" s="769"/>
      <c r="AL31" s="906"/>
      <c r="AM31" s="902" t="s">
        <v>925</v>
      </c>
      <c r="AN31" s="903"/>
      <c r="AO31" s="756"/>
      <c r="AP31" s="612"/>
    </row>
    <row r="32" spans="1:42" ht="18.75" customHeight="1" thickBot="1">
      <c r="A32" s="364" t="s">
        <v>90</v>
      </c>
      <c r="B32" s="180"/>
      <c r="C32" s="398"/>
      <c r="D32" s="397">
        <f t="shared" si="0"/>
        <v>0</v>
      </c>
      <c r="E32" s="398"/>
      <c r="F32" s="374"/>
      <c r="G32" s="396"/>
      <c r="H32" s="400">
        <f t="shared" si="2"/>
        <v>0</v>
      </c>
      <c r="I32" s="396"/>
      <c r="J32" s="374"/>
      <c r="K32" s="396"/>
      <c r="L32" s="400">
        <f t="shared" si="4"/>
        <v>0</v>
      </c>
      <c r="M32" s="401"/>
      <c r="N32" s="190" t="e">
        <f>'Variable &amp; Fixed'!#REF!</f>
        <v>#REF!</v>
      </c>
      <c r="O32" s="187" t="e">
        <f>N32*$C$10</f>
        <v>#REF!</v>
      </c>
      <c r="P32" s="191" t="e">
        <f>'Variable &amp; Fixed'!#REF!</f>
        <v>#REF!</v>
      </c>
      <c r="Q32" s="187" t="e">
        <f>P32*$C$10</f>
        <v>#REF!</v>
      </c>
      <c r="R32" s="191" t="e">
        <f>'Variable &amp; Fixed'!#REF!</f>
        <v>#REF!</v>
      </c>
      <c r="S32" s="189" t="e">
        <f>R32*$C$10</f>
        <v>#REF!</v>
      </c>
      <c r="T32" s="185"/>
      <c r="W32" s="11" t="s">
        <v>904</v>
      </c>
      <c r="X32" s="12"/>
      <c r="Y32" s="11" t="s">
        <v>905</v>
      </c>
      <c r="Z32" s="12"/>
      <c r="AA32" s="11" t="s">
        <v>916</v>
      </c>
      <c r="AE32" s="612"/>
      <c r="AF32" s="757"/>
      <c r="AG32" s="764"/>
      <c r="AH32" s="776" t="s">
        <v>927</v>
      </c>
      <c r="AI32" s="764"/>
      <c r="AJ32" s="772"/>
      <c r="AK32" s="773"/>
      <c r="AL32" s="758"/>
      <c r="AM32" s="776" t="s">
        <v>927</v>
      </c>
      <c r="AN32" s="758"/>
      <c r="AO32" s="759"/>
      <c r="AP32" s="612"/>
    </row>
    <row r="33" spans="1:42">
      <c r="A33" s="802" t="s">
        <v>248</v>
      </c>
      <c r="B33" s="193"/>
      <c r="C33" s="398">
        <f>'Variable &amp; Fixed'!G14</f>
        <v>0</v>
      </c>
      <c r="D33" s="397">
        <f t="shared" si="0"/>
        <v>0</v>
      </c>
      <c r="E33" s="398">
        <f t="shared" ref="E33:E41" si="9">C33*$C$10</f>
        <v>0</v>
      </c>
      <c r="F33" s="374"/>
      <c r="G33" s="396">
        <f>'Variable &amp; Fixed'!L14</f>
        <v>0</v>
      </c>
      <c r="H33" s="400">
        <f t="shared" si="2"/>
        <v>0</v>
      </c>
      <c r="I33" s="396">
        <f t="shared" si="7"/>
        <v>0</v>
      </c>
      <c r="J33" s="374"/>
      <c r="K33" s="396">
        <f>'Variable &amp; Fixed'!R14</f>
        <v>0</v>
      </c>
      <c r="L33" s="400">
        <f t="shared" si="4"/>
        <v>0</v>
      </c>
      <c r="M33" s="401">
        <f t="shared" si="8"/>
        <v>0</v>
      </c>
      <c r="N33" s="190" t="e">
        <f>'Variable &amp; Fixed'!#REF!</f>
        <v>#REF!</v>
      </c>
      <c r="O33" s="187" t="e">
        <f>N33*$C$10</f>
        <v>#REF!</v>
      </c>
      <c r="P33" s="191" t="e">
        <f>'Variable &amp; Fixed'!#REF!</f>
        <v>#REF!</v>
      </c>
      <c r="Q33" s="187" t="e">
        <f>P33*$C$10</f>
        <v>#REF!</v>
      </c>
      <c r="R33" s="191" t="e">
        <f>'Variable &amp; Fixed'!#REF!</f>
        <v>#REF!</v>
      </c>
      <c r="S33" s="189" t="e">
        <f>R33*$C$10</f>
        <v>#REF!</v>
      </c>
      <c r="T33" s="185"/>
      <c r="W33" s="373">
        <v>133.03</v>
      </c>
      <c r="X33" s="11" t="s">
        <v>901</v>
      </c>
      <c r="Y33" s="742">
        <f>AA10/W25</f>
        <v>5.7392102846648297E-3</v>
      </c>
      <c r="Z33" s="472" t="s">
        <v>186</v>
      </c>
      <c r="AA33" s="455">
        <f>W33*Y33</f>
        <v>0.76348714416896235</v>
      </c>
      <c r="AE33" s="612"/>
      <c r="AF33" s="612"/>
      <c r="AG33" s="612"/>
      <c r="AH33" s="612"/>
      <c r="AI33" s="612"/>
      <c r="AJ33" s="901" t="s">
        <v>928</v>
      </c>
      <c r="AK33" s="901"/>
      <c r="AL33" s="612"/>
      <c r="AM33" s="612"/>
      <c r="AN33" s="612"/>
      <c r="AO33" s="612"/>
      <c r="AP33" s="612"/>
    </row>
    <row r="34" spans="1:42" ht="18.75" customHeight="1">
      <c r="A34" s="802" t="s">
        <v>249</v>
      </c>
      <c r="B34" s="193"/>
      <c r="C34" s="398">
        <f>'Variable &amp; Fixed'!G15</f>
        <v>0</v>
      </c>
      <c r="D34" s="397">
        <f t="shared" si="0"/>
        <v>0</v>
      </c>
      <c r="E34" s="398">
        <f t="shared" si="9"/>
        <v>0</v>
      </c>
      <c r="F34" s="374"/>
      <c r="G34" s="396">
        <f>'Variable &amp; Fixed'!L15</f>
        <v>0</v>
      </c>
      <c r="H34" s="400">
        <f t="shared" si="2"/>
        <v>0</v>
      </c>
      <c r="I34" s="396">
        <f t="shared" si="7"/>
        <v>0</v>
      </c>
      <c r="J34" s="374"/>
      <c r="K34" s="396">
        <f>'Variable &amp; Fixed'!R15</f>
        <v>0</v>
      </c>
      <c r="L34" s="400">
        <f t="shared" si="4"/>
        <v>0</v>
      </c>
      <c r="M34" s="401">
        <f t="shared" si="8"/>
        <v>0</v>
      </c>
      <c r="N34" s="190" t="e">
        <f>'Variable &amp; Fixed'!#REF!</f>
        <v>#REF!</v>
      </c>
      <c r="O34" s="187" t="e">
        <f>N34*$C$10</f>
        <v>#REF!</v>
      </c>
      <c r="P34" s="191" t="e">
        <f>'Variable &amp; Fixed'!#REF!</f>
        <v>#REF!</v>
      </c>
      <c r="Q34" s="187" t="e">
        <f>P34*$C$10</f>
        <v>#REF!</v>
      </c>
      <c r="R34" s="191" t="e">
        <f>'Variable &amp; Fixed'!#REF!</f>
        <v>#REF!</v>
      </c>
      <c r="S34" s="189" t="e">
        <f>R34*$C$10</f>
        <v>#REF!</v>
      </c>
      <c r="T34" s="185"/>
      <c r="W34" s="743"/>
      <c r="X34" s="743"/>
      <c r="Y34" s="743"/>
      <c r="Z34" s="743"/>
      <c r="AA34" s="743"/>
      <c r="AE34" s="612"/>
      <c r="AF34" s="612"/>
      <c r="AG34" s="612"/>
      <c r="AH34" s="612"/>
      <c r="AI34" s="612"/>
      <c r="AJ34" s="899"/>
      <c r="AK34" s="899"/>
      <c r="AL34" s="612"/>
      <c r="AM34" s="612"/>
      <c r="AN34" s="612"/>
      <c r="AO34" s="612"/>
      <c r="AP34" s="612"/>
    </row>
    <row r="35" spans="1:42">
      <c r="A35" s="364" t="s">
        <v>82</v>
      </c>
      <c r="B35" s="180"/>
      <c r="C35" s="398"/>
      <c r="D35" s="397">
        <f t="shared" si="0"/>
        <v>0</v>
      </c>
      <c r="E35" s="398"/>
      <c r="F35" s="374"/>
      <c r="G35" s="396"/>
      <c r="H35" s="400">
        <f t="shared" si="2"/>
        <v>0</v>
      </c>
      <c r="I35" s="396"/>
      <c r="J35" s="374"/>
      <c r="K35" s="396"/>
      <c r="L35" s="400">
        <f t="shared" si="4"/>
        <v>0</v>
      </c>
      <c r="M35" s="401"/>
      <c r="N35" s="190"/>
      <c r="O35" s="187"/>
      <c r="P35" s="191"/>
      <c r="Q35" s="187"/>
      <c r="R35" s="191"/>
      <c r="S35" s="189"/>
      <c r="T35" s="185"/>
      <c r="W35" s="765" t="s">
        <v>929</v>
      </c>
      <c r="AE35" s="612"/>
      <c r="AF35" s="612"/>
      <c r="AG35" s="612"/>
      <c r="AH35" s="612"/>
      <c r="AI35" s="612"/>
      <c r="AJ35" s="612"/>
      <c r="AK35" s="612"/>
      <c r="AL35" s="612"/>
      <c r="AM35" s="612"/>
      <c r="AN35" s="612"/>
      <c r="AO35" s="612"/>
      <c r="AP35" s="612"/>
    </row>
    <row r="36" spans="1:42">
      <c r="A36" s="733" t="s">
        <v>83</v>
      </c>
      <c r="B36" s="192"/>
      <c r="C36" s="398">
        <f>'Variable &amp; Fixed'!G17</f>
        <v>0</v>
      </c>
      <c r="D36" s="397">
        <f t="shared" si="0"/>
        <v>0</v>
      </c>
      <c r="E36" s="398">
        <f t="shared" si="9"/>
        <v>0</v>
      </c>
      <c r="F36" s="374"/>
      <c r="G36" s="396">
        <f>'Variable &amp; Fixed'!L17</f>
        <v>0</v>
      </c>
      <c r="H36" s="400">
        <f t="shared" si="2"/>
        <v>0</v>
      </c>
      <c r="I36" s="396">
        <f t="shared" si="7"/>
        <v>0</v>
      </c>
      <c r="J36" s="374"/>
      <c r="K36" s="396">
        <f>'Variable &amp; Fixed'!R17</f>
        <v>0</v>
      </c>
      <c r="L36" s="400">
        <f t="shared" si="4"/>
        <v>0</v>
      </c>
      <c r="M36" s="401">
        <f t="shared" si="8"/>
        <v>0</v>
      </c>
      <c r="N36" s="190" t="e">
        <f>'Variable &amp; Fixed'!#REF!</f>
        <v>#REF!</v>
      </c>
      <c r="O36" s="187" t="e">
        <f t="shared" ref="O36:O42" si="10">N36*$C$10</f>
        <v>#REF!</v>
      </c>
      <c r="P36" s="191" t="e">
        <f>'Variable &amp; Fixed'!#REF!</f>
        <v>#REF!</v>
      </c>
      <c r="Q36" s="187" t="e">
        <f t="shared" ref="Q36:Q42" si="11">P36*$C$10</f>
        <v>#REF!</v>
      </c>
      <c r="R36" s="191" t="e">
        <f>'Variable &amp; Fixed'!#REF!</f>
        <v>#REF!</v>
      </c>
      <c r="S36" s="189" t="e">
        <f t="shared" ref="S36:S42" si="12">R36*$C$10</f>
        <v>#REF!</v>
      </c>
      <c r="T36" s="185"/>
      <c r="W36" s="921" t="s">
        <v>918</v>
      </c>
      <c r="X36" s="921"/>
      <c r="Y36" s="921"/>
      <c r="Z36" s="921"/>
      <c r="AA36" s="921"/>
      <c r="AE36" s="612"/>
      <c r="AF36" s="612" t="s">
        <v>931</v>
      </c>
      <c r="AG36" s="612"/>
      <c r="AH36" s="612"/>
      <c r="AI36" s="612"/>
      <c r="AJ36" s="612"/>
      <c r="AK36" s="612"/>
      <c r="AL36" s="612"/>
      <c r="AM36" s="612"/>
      <c r="AN36" s="612"/>
      <c r="AO36" s="612"/>
      <c r="AP36" s="612"/>
    </row>
    <row r="37" spans="1:42" ht="18.75" customHeight="1">
      <c r="A37" s="733" t="s">
        <v>84</v>
      </c>
      <c r="B37" s="192"/>
      <c r="C37" s="398">
        <f>'Variable &amp; Fixed'!G18</f>
        <v>0</v>
      </c>
      <c r="D37" s="397">
        <f t="shared" si="0"/>
        <v>0</v>
      </c>
      <c r="E37" s="398">
        <f t="shared" si="9"/>
        <v>0</v>
      </c>
      <c r="F37" s="374"/>
      <c r="G37" s="396">
        <f>'Variable &amp; Fixed'!L18</f>
        <v>0</v>
      </c>
      <c r="H37" s="400">
        <f t="shared" si="2"/>
        <v>0</v>
      </c>
      <c r="I37" s="396">
        <f t="shared" si="7"/>
        <v>0</v>
      </c>
      <c r="J37" s="374"/>
      <c r="K37" s="396">
        <f>'Variable &amp; Fixed'!R18</f>
        <v>0</v>
      </c>
      <c r="L37" s="400">
        <f t="shared" si="4"/>
        <v>0</v>
      </c>
      <c r="M37" s="401">
        <f t="shared" si="8"/>
        <v>0</v>
      </c>
      <c r="N37" s="190" t="e">
        <f>'Variable &amp; Fixed'!#REF!</f>
        <v>#REF!</v>
      </c>
      <c r="O37" s="187" t="e">
        <f t="shared" si="10"/>
        <v>#REF!</v>
      </c>
      <c r="P37" s="191" t="e">
        <f>'Variable &amp; Fixed'!#REF!</f>
        <v>#REF!</v>
      </c>
      <c r="Q37" s="187" t="e">
        <f t="shared" si="11"/>
        <v>#REF!</v>
      </c>
      <c r="R37" s="191" t="e">
        <f>'Variable &amp; Fixed'!#REF!</f>
        <v>#REF!</v>
      </c>
      <c r="S37" s="189" t="e">
        <f t="shared" si="12"/>
        <v>#REF!</v>
      </c>
      <c r="T37" s="185"/>
      <c r="W37" s="921"/>
      <c r="X37" s="921"/>
      <c r="Y37" s="921"/>
      <c r="Z37" s="921"/>
      <c r="AA37" s="921"/>
      <c r="AE37" s="612"/>
      <c r="AF37" s="612"/>
      <c r="AG37" s="612"/>
      <c r="AH37" s="612"/>
      <c r="AI37" s="612"/>
      <c r="AJ37" s="612"/>
      <c r="AK37" s="612"/>
      <c r="AL37" s="612"/>
      <c r="AM37" s="612"/>
      <c r="AN37" s="612"/>
      <c r="AO37" s="612"/>
      <c r="AP37" s="612"/>
    </row>
    <row r="38" spans="1:42">
      <c r="A38" s="733" t="s">
        <v>204</v>
      </c>
      <c r="B38" s="192"/>
      <c r="C38" s="398">
        <f>'Variable &amp; Fixed'!G19</f>
        <v>0</v>
      </c>
      <c r="D38" s="397">
        <f t="shared" si="0"/>
        <v>0</v>
      </c>
      <c r="E38" s="398">
        <f t="shared" si="9"/>
        <v>0</v>
      </c>
      <c r="F38" s="374"/>
      <c r="G38" s="396">
        <f>'Variable &amp; Fixed'!L19</f>
        <v>0</v>
      </c>
      <c r="H38" s="400">
        <f t="shared" si="2"/>
        <v>0</v>
      </c>
      <c r="I38" s="396">
        <f t="shared" si="7"/>
        <v>0</v>
      </c>
      <c r="J38" s="374"/>
      <c r="K38" s="396">
        <f>'Variable &amp; Fixed'!R19</f>
        <v>0</v>
      </c>
      <c r="L38" s="400">
        <f t="shared" si="4"/>
        <v>0</v>
      </c>
      <c r="M38" s="401">
        <f t="shared" si="8"/>
        <v>0</v>
      </c>
      <c r="N38" s="190" t="e">
        <f>'Variable &amp; Fixed'!#REF!</f>
        <v>#REF!</v>
      </c>
      <c r="O38" s="187" t="e">
        <f t="shared" si="10"/>
        <v>#REF!</v>
      </c>
      <c r="P38" s="191" t="e">
        <f>'Variable &amp; Fixed'!#REF!</f>
        <v>#REF!</v>
      </c>
      <c r="Q38" s="187" t="e">
        <f t="shared" si="11"/>
        <v>#REF!</v>
      </c>
      <c r="R38" s="191" t="e">
        <f>'Variable &amp; Fixed'!#REF!</f>
        <v>#REF!</v>
      </c>
      <c r="S38" s="189" t="e">
        <f t="shared" si="12"/>
        <v>#REF!</v>
      </c>
      <c r="T38" s="185"/>
      <c r="W38" s="790"/>
      <c r="X38" s="790"/>
      <c r="Y38" s="790"/>
      <c r="Z38" s="790"/>
      <c r="AA38" s="790"/>
    </row>
    <row r="39" spans="1:42">
      <c r="A39" s="364" t="s">
        <v>86</v>
      </c>
      <c r="B39" s="180"/>
      <c r="C39" s="398">
        <f>'Variable &amp; Fixed'!G20</f>
        <v>0</v>
      </c>
      <c r="D39" s="397">
        <f t="shared" si="0"/>
        <v>0</v>
      </c>
      <c r="E39" s="398">
        <f t="shared" si="9"/>
        <v>0</v>
      </c>
      <c r="F39" s="374"/>
      <c r="G39" s="396">
        <f>'Variable &amp; Fixed'!L20</f>
        <v>0</v>
      </c>
      <c r="H39" s="400">
        <f t="shared" si="2"/>
        <v>0</v>
      </c>
      <c r="I39" s="396">
        <f t="shared" si="7"/>
        <v>0</v>
      </c>
      <c r="J39" s="374"/>
      <c r="K39" s="396">
        <f>'Variable &amp; Fixed'!R20</f>
        <v>0</v>
      </c>
      <c r="L39" s="400">
        <f t="shared" si="4"/>
        <v>0</v>
      </c>
      <c r="M39" s="401">
        <f t="shared" si="8"/>
        <v>0</v>
      </c>
      <c r="N39" s="190" t="e">
        <f>'Variable &amp; Fixed'!#REF!</f>
        <v>#REF!</v>
      </c>
      <c r="O39" s="187" t="e">
        <f t="shared" si="10"/>
        <v>#REF!</v>
      </c>
      <c r="P39" s="191" t="e">
        <f>'Variable &amp; Fixed'!#REF!</f>
        <v>#REF!</v>
      </c>
      <c r="Q39" s="187" t="e">
        <f t="shared" si="11"/>
        <v>#REF!</v>
      </c>
      <c r="R39" s="191" t="e">
        <f>'Variable &amp; Fixed'!#REF!</f>
        <v>#REF!</v>
      </c>
      <c r="S39" s="189" t="e">
        <f t="shared" si="12"/>
        <v>#REF!</v>
      </c>
      <c r="T39" s="185"/>
      <c r="AE39" s="798"/>
      <c r="AF39" s="798"/>
      <c r="AG39" s="798"/>
      <c r="AH39" s="798"/>
      <c r="AI39" s="798"/>
      <c r="AJ39" s="798"/>
      <c r="AK39" s="798"/>
      <c r="AL39" s="798"/>
      <c r="AM39" s="798"/>
      <c r="AN39" s="798"/>
      <c r="AO39" s="798"/>
      <c r="AP39" s="798"/>
    </row>
    <row r="40" spans="1:42">
      <c r="A40" s="364" t="s">
        <v>92</v>
      </c>
      <c r="B40" s="180"/>
      <c r="C40" s="398">
        <f>'Variable &amp; Fixed'!G21</f>
        <v>0</v>
      </c>
      <c r="D40" s="397">
        <f t="shared" si="0"/>
        <v>0</v>
      </c>
      <c r="E40" s="398">
        <f t="shared" si="9"/>
        <v>0</v>
      </c>
      <c r="F40" s="374"/>
      <c r="G40" s="396">
        <f>'Variable &amp; Fixed'!L21</f>
        <v>0</v>
      </c>
      <c r="H40" s="400">
        <f t="shared" si="2"/>
        <v>0</v>
      </c>
      <c r="I40" s="396">
        <f t="shared" si="7"/>
        <v>0</v>
      </c>
      <c r="J40" s="374"/>
      <c r="K40" s="396">
        <f>'Variable &amp; Fixed'!R21</f>
        <v>0</v>
      </c>
      <c r="L40" s="400">
        <f t="shared" si="4"/>
        <v>0</v>
      </c>
      <c r="M40" s="401">
        <f t="shared" si="8"/>
        <v>0</v>
      </c>
      <c r="N40" s="190" t="e">
        <f>'Variable &amp; Fixed'!#REF!</f>
        <v>#REF!</v>
      </c>
      <c r="O40" s="187" t="e">
        <f t="shared" si="10"/>
        <v>#REF!</v>
      </c>
      <c r="P40" s="191" t="e">
        <f>'Variable &amp; Fixed'!#REF!</f>
        <v>#REF!</v>
      </c>
      <c r="Q40" s="187" t="e">
        <f t="shared" si="11"/>
        <v>#REF!</v>
      </c>
      <c r="R40" s="191" t="e">
        <f>'Variable &amp; Fixed'!#REF!</f>
        <v>#REF!</v>
      </c>
      <c r="S40" s="189" t="e">
        <f t="shared" si="12"/>
        <v>#REF!</v>
      </c>
      <c r="T40" s="185"/>
    </row>
    <row r="41" spans="1:42">
      <c r="A41" s="364" t="s">
        <v>93</v>
      </c>
      <c r="B41" s="180"/>
      <c r="C41" s="398">
        <f>'Variable &amp; Fixed'!G22</f>
        <v>0</v>
      </c>
      <c r="D41" s="397">
        <f t="shared" si="0"/>
        <v>0</v>
      </c>
      <c r="E41" s="398">
        <f t="shared" si="9"/>
        <v>0</v>
      </c>
      <c r="F41" s="374"/>
      <c r="G41" s="396">
        <f>'Variable &amp; Fixed'!L22</f>
        <v>0</v>
      </c>
      <c r="H41" s="400">
        <f t="shared" si="2"/>
        <v>0</v>
      </c>
      <c r="I41" s="396">
        <f t="shared" si="7"/>
        <v>0</v>
      </c>
      <c r="J41" s="374"/>
      <c r="K41" s="396">
        <f>'Variable &amp; Fixed'!R22</f>
        <v>0</v>
      </c>
      <c r="L41" s="400">
        <f t="shared" si="4"/>
        <v>0</v>
      </c>
      <c r="M41" s="401">
        <f t="shared" si="8"/>
        <v>0</v>
      </c>
      <c r="N41" s="190" t="e">
        <f>'Variable &amp; Fixed'!#REF!</f>
        <v>#REF!</v>
      </c>
      <c r="O41" s="187" t="e">
        <f t="shared" si="10"/>
        <v>#REF!</v>
      </c>
      <c r="P41" s="191" t="e">
        <f>'Variable &amp; Fixed'!#REF!</f>
        <v>#REF!</v>
      </c>
      <c r="Q41" s="187" t="e">
        <f t="shared" si="11"/>
        <v>#REF!</v>
      </c>
      <c r="R41" s="191" t="e">
        <f>'Variable &amp; Fixed'!#REF!</f>
        <v>#REF!</v>
      </c>
      <c r="S41" s="189" t="e">
        <f t="shared" si="12"/>
        <v>#REF!</v>
      </c>
      <c r="T41" s="185"/>
      <c r="AJ41" s="797"/>
      <c r="AK41" s="797"/>
    </row>
    <row r="42" spans="1:42">
      <c r="A42" s="364" t="s">
        <v>94</v>
      </c>
      <c r="B42" s="180"/>
      <c r="C42" s="398"/>
      <c r="D42" s="397">
        <f t="shared" si="0"/>
        <v>0</v>
      </c>
      <c r="E42" s="398"/>
      <c r="F42" s="374"/>
      <c r="G42" s="396"/>
      <c r="H42" s="400">
        <f t="shared" si="2"/>
        <v>0</v>
      </c>
      <c r="I42" s="396"/>
      <c r="J42" s="374"/>
      <c r="K42" s="396"/>
      <c r="L42" s="400">
        <f t="shared" si="4"/>
        <v>0</v>
      </c>
      <c r="M42" s="401"/>
      <c r="N42" s="190" t="e">
        <f>'Variable &amp; Fixed'!#REF!</f>
        <v>#REF!</v>
      </c>
      <c r="O42" s="187" t="e">
        <f t="shared" si="10"/>
        <v>#REF!</v>
      </c>
      <c r="P42" s="191" t="e">
        <f>'Variable &amp; Fixed'!#REF!</f>
        <v>#REF!</v>
      </c>
      <c r="Q42" s="187" t="e">
        <f t="shared" si="11"/>
        <v>#REF!</v>
      </c>
      <c r="R42" s="191" t="e">
        <f>'Variable &amp; Fixed'!#REF!</f>
        <v>#REF!</v>
      </c>
      <c r="S42" s="189" t="e">
        <f t="shared" si="12"/>
        <v>#REF!</v>
      </c>
      <c r="T42" s="185"/>
      <c r="V42" s="345"/>
      <c r="AE42" s="199"/>
      <c r="AJ42" s="797"/>
      <c r="AK42" s="797"/>
    </row>
    <row r="43" spans="1:42">
      <c r="A43" s="733" t="s">
        <v>113</v>
      </c>
      <c r="B43" s="192"/>
      <c r="C43" s="398">
        <f>'Variable &amp; Fixed'!G24</f>
        <v>0</v>
      </c>
      <c r="D43" s="397">
        <f t="shared" si="0"/>
        <v>0</v>
      </c>
      <c r="E43" s="398">
        <f>C43*$C$10</f>
        <v>0</v>
      </c>
      <c r="F43" s="374"/>
      <c r="G43" s="396">
        <f>'Variable &amp; Fixed'!L24</f>
        <v>0</v>
      </c>
      <c r="H43" s="400">
        <f t="shared" si="2"/>
        <v>0</v>
      </c>
      <c r="I43" s="396">
        <f t="shared" si="7"/>
        <v>0</v>
      </c>
      <c r="J43" s="374"/>
      <c r="K43" s="396">
        <f>'Variable &amp; Fixed'!R24</f>
        <v>0</v>
      </c>
      <c r="L43" s="400">
        <f t="shared" si="4"/>
        <v>0</v>
      </c>
      <c r="M43" s="401">
        <f t="shared" si="8"/>
        <v>0</v>
      </c>
      <c r="N43" s="190"/>
      <c r="O43" s="187"/>
      <c r="P43" s="191"/>
      <c r="Q43" s="187"/>
      <c r="R43" s="191"/>
      <c r="S43" s="189"/>
      <c r="T43" s="185"/>
      <c r="V43" s="345"/>
      <c r="AE43" s="199"/>
      <c r="AH43" s="793"/>
      <c r="AM43" s="793"/>
    </row>
    <row r="44" spans="1:42">
      <c r="A44" s="733" t="s">
        <v>114</v>
      </c>
      <c r="B44" s="192"/>
      <c r="C44" s="398">
        <f>'Variable &amp; Fixed'!G25</f>
        <v>0</v>
      </c>
      <c r="D44" s="397">
        <f t="shared" si="0"/>
        <v>0</v>
      </c>
      <c r="E44" s="398">
        <f>C44*$C$10</f>
        <v>0</v>
      </c>
      <c r="F44" s="299"/>
      <c r="G44" s="396">
        <f>'Variable &amp; Fixed'!L25</f>
        <v>0</v>
      </c>
      <c r="H44" s="400">
        <f t="shared" si="2"/>
        <v>0</v>
      </c>
      <c r="I44" s="396">
        <f t="shared" si="7"/>
        <v>0</v>
      </c>
      <c r="J44" s="299"/>
      <c r="K44" s="396">
        <f>'Variable &amp; Fixed'!R25</f>
        <v>0</v>
      </c>
      <c r="L44" s="400">
        <f t="shared" si="4"/>
        <v>0</v>
      </c>
      <c r="M44" s="401">
        <f t="shared" si="8"/>
        <v>0</v>
      </c>
      <c r="N44" s="190" t="e">
        <f>'Variable &amp; Fixed'!#REF!</f>
        <v>#REF!</v>
      </c>
      <c r="O44" s="187" t="e">
        <f>N44*$C$10</f>
        <v>#REF!</v>
      </c>
      <c r="P44" s="191" t="e">
        <f>'Variable &amp; Fixed'!#REF!</f>
        <v>#REF!</v>
      </c>
      <c r="Q44" s="187" t="e">
        <f>P44*$C$10</f>
        <v>#REF!</v>
      </c>
      <c r="R44" s="191" t="e">
        <f>'Variable &amp; Fixed'!#REF!</f>
        <v>#REF!</v>
      </c>
      <c r="S44" s="189" t="e">
        <f>R44*$C$10</f>
        <v>#REF!</v>
      </c>
      <c r="T44" s="185"/>
      <c r="V44" s="345"/>
      <c r="AE44" s="199"/>
      <c r="AG44" s="799"/>
      <c r="AH44" s="794"/>
      <c r="AI44" s="794"/>
      <c r="AL44" s="799"/>
      <c r="AM44" s="794"/>
      <c r="AN44" s="794"/>
    </row>
    <row r="45" spans="1:42">
      <c r="A45" s="364" t="s">
        <v>303</v>
      </c>
      <c r="B45" s="180"/>
      <c r="C45" s="398">
        <f>'Variable &amp; Fixed'!G26</f>
        <v>0</v>
      </c>
      <c r="D45" s="397">
        <f t="shared" si="0"/>
        <v>0</v>
      </c>
      <c r="E45" s="398">
        <f t="shared" ref="E45" si="13">C45*$C$10</f>
        <v>0</v>
      </c>
      <c r="F45" s="299"/>
      <c r="G45" s="396">
        <f>'Variable &amp; Fixed'!L26</f>
        <v>0</v>
      </c>
      <c r="H45" s="400">
        <f t="shared" si="2"/>
        <v>0</v>
      </c>
      <c r="I45" s="396">
        <f t="shared" si="7"/>
        <v>0</v>
      </c>
      <c r="J45" s="299"/>
      <c r="K45" s="396">
        <f>'Variable &amp; Fixed'!R26</f>
        <v>0</v>
      </c>
      <c r="L45" s="400">
        <f t="shared" si="4"/>
        <v>0</v>
      </c>
      <c r="M45" s="401">
        <f t="shared" si="8"/>
        <v>0</v>
      </c>
      <c r="N45" s="190"/>
      <c r="O45" s="187"/>
      <c r="P45" s="191"/>
      <c r="Q45" s="187"/>
      <c r="R45" s="191"/>
      <c r="S45" s="189"/>
      <c r="T45" s="185"/>
      <c r="AE45" s="199"/>
      <c r="AF45" s="793"/>
      <c r="AG45" s="799"/>
      <c r="AH45" s="795"/>
      <c r="AI45" s="794"/>
      <c r="AJ45" s="793"/>
      <c r="AK45" s="793"/>
      <c r="AL45" s="799"/>
      <c r="AM45" s="795"/>
      <c r="AN45" s="794"/>
      <c r="AO45" s="793"/>
    </row>
    <row r="46" spans="1:42">
      <c r="A46" s="364" t="s">
        <v>301</v>
      </c>
      <c r="B46" s="2"/>
      <c r="C46" s="398"/>
      <c r="D46" s="397">
        <f>C46</f>
        <v>0</v>
      </c>
      <c r="E46" s="396"/>
      <c r="F46" s="299"/>
      <c r="G46" s="396"/>
      <c r="H46" s="400">
        <f>G46</f>
        <v>0</v>
      </c>
      <c r="I46" s="396"/>
      <c r="J46" s="299"/>
      <c r="K46" s="396"/>
      <c r="L46" s="400">
        <f>K46</f>
        <v>0</v>
      </c>
      <c r="M46" s="401"/>
      <c r="N46" s="190"/>
      <c r="O46" s="187"/>
      <c r="P46" s="191"/>
      <c r="Q46" s="187"/>
      <c r="R46" s="191"/>
      <c r="S46" s="189"/>
      <c r="T46" s="185"/>
      <c r="AE46" s="199"/>
      <c r="AG46" s="799"/>
      <c r="AH46" s="800"/>
      <c r="AI46" s="800"/>
      <c r="AL46" s="799"/>
      <c r="AM46" s="800"/>
      <c r="AN46" s="800"/>
    </row>
    <row r="47" spans="1:42">
      <c r="A47" s="803" t="s">
        <v>933</v>
      </c>
      <c r="B47" s="2"/>
      <c r="C47" s="396">
        <f>'Variable &amp; Fixed'!D28</f>
        <v>0</v>
      </c>
      <c r="D47" s="397">
        <f t="shared" ref="D47:D51" si="14">C47</f>
        <v>0</v>
      </c>
      <c r="E47" s="396">
        <f t="shared" ref="E47:E50" si="15">C47*$C$10</f>
        <v>0</v>
      </c>
      <c r="F47" s="299"/>
      <c r="G47" s="396">
        <f>'Variable &amp; Fixed'!I28</f>
        <v>0</v>
      </c>
      <c r="H47" s="400">
        <f t="shared" ref="H47:H50" si="16">G47</f>
        <v>0</v>
      </c>
      <c r="I47" s="396">
        <f t="shared" ref="I47:I50" si="17">G47*$G$10</f>
        <v>0</v>
      </c>
      <c r="J47" s="299"/>
      <c r="K47" s="396">
        <f>'Variable &amp; Fixed'!N28</f>
        <v>0</v>
      </c>
      <c r="L47" s="400">
        <f t="shared" ref="L47:L51" si="18">K47</f>
        <v>0</v>
      </c>
      <c r="M47" s="401">
        <f t="shared" ref="M47:M51" si="19">K47*$K$10</f>
        <v>0</v>
      </c>
      <c r="N47" s="190"/>
      <c r="O47" s="187"/>
      <c r="P47" s="191"/>
      <c r="Q47" s="187"/>
      <c r="R47" s="191"/>
      <c r="S47" s="189"/>
      <c r="T47" s="185"/>
      <c r="AE47" s="199"/>
      <c r="AG47" s="799"/>
      <c r="AH47" s="800"/>
      <c r="AI47" s="800"/>
      <c r="AL47" s="799"/>
      <c r="AM47" s="800"/>
      <c r="AN47" s="800"/>
    </row>
    <row r="48" spans="1:42">
      <c r="A48" s="803" t="s">
        <v>934</v>
      </c>
      <c r="B48" s="2"/>
      <c r="C48" s="396">
        <f>'Variable &amp; Fixed'!D29</f>
        <v>0</v>
      </c>
      <c r="D48" s="397">
        <f t="shared" si="14"/>
        <v>0</v>
      </c>
      <c r="E48" s="396">
        <f t="shared" si="15"/>
        <v>0</v>
      </c>
      <c r="F48" s="299"/>
      <c r="G48" s="396">
        <f>'Variable &amp; Fixed'!I29</f>
        <v>0</v>
      </c>
      <c r="H48" s="400">
        <f t="shared" si="16"/>
        <v>0</v>
      </c>
      <c r="I48" s="396">
        <f t="shared" si="17"/>
        <v>0</v>
      </c>
      <c r="J48" s="299"/>
      <c r="K48" s="396">
        <f>'Variable &amp; Fixed'!N29</f>
        <v>0</v>
      </c>
      <c r="L48" s="400">
        <f t="shared" si="18"/>
        <v>0</v>
      </c>
      <c r="M48" s="401">
        <f t="shared" si="19"/>
        <v>0</v>
      </c>
      <c r="N48" s="190"/>
      <c r="O48" s="187"/>
      <c r="P48" s="191"/>
      <c r="Q48" s="187"/>
      <c r="R48" s="191"/>
      <c r="S48" s="189"/>
      <c r="T48" s="185"/>
      <c r="AE48" s="199"/>
      <c r="AG48" s="799"/>
      <c r="AH48" s="800"/>
      <c r="AI48" s="800"/>
      <c r="AL48" s="799"/>
      <c r="AM48" s="800"/>
      <c r="AN48" s="800"/>
    </row>
    <row r="49" spans="1:43">
      <c r="A49" s="803" t="s">
        <v>935</v>
      </c>
      <c r="B49" s="2"/>
      <c r="C49" s="396">
        <f>'Variable &amp; Fixed'!D30</f>
        <v>0</v>
      </c>
      <c r="D49" s="397">
        <f t="shared" si="14"/>
        <v>0</v>
      </c>
      <c r="E49" s="396">
        <f t="shared" si="15"/>
        <v>0</v>
      </c>
      <c r="F49" s="299"/>
      <c r="G49" s="396">
        <f>'Variable &amp; Fixed'!I30</f>
        <v>0</v>
      </c>
      <c r="H49" s="400">
        <f t="shared" si="16"/>
        <v>0</v>
      </c>
      <c r="I49" s="396">
        <f t="shared" si="17"/>
        <v>0</v>
      </c>
      <c r="J49" s="299"/>
      <c r="K49" s="396">
        <f>'Variable &amp; Fixed'!N30</f>
        <v>0</v>
      </c>
      <c r="L49" s="400">
        <f t="shared" si="18"/>
        <v>0</v>
      </c>
      <c r="M49" s="401">
        <f t="shared" si="19"/>
        <v>0</v>
      </c>
      <c r="N49" s="190"/>
      <c r="O49" s="187"/>
      <c r="P49" s="191"/>
      <c r="Q49" s="187"/>
      <c r="R49" s="191"/>
      <c r="S49" s="189"/>
      <c r="T49" s="185"/>
      <c r="AE49" s="199"/>
      <c r="AG49" s="799"/>
      <c r="AH49" s="800"/>
      <c r="AI49" s="800"/>
      <c r="AL49" s="799"/>
      <c r="AM49" s="800"/>
      <c r="AN49" s="800"/>
    </row>
    <row r="50" spans="1:43">
      <c r="A50" s="803" t="s">
        <v>936</v>
      </c>
      <c r="B50" s="2"/>
      <c r="C50" s="396">
        <f>'Variable &amp; Fixed'!D31</f>
        <v>0</v>
      </c>
      <c r="D50" s="397">
        <f t="shared" si="14"/>
        <v>0</v>
      </c>
      <c r="E50" s="396">
        <f t="shared" si="15"/>
        <v>0</v>
      </c>
      <c r="F50" s="299"/>
      <c r="G50" s="396">
        <f>'Variable &amp; Fixed'!I31</f>
        <v>0</v>
      </c>
      <c r="H50" s="400">
        <f t="shared" si="16"/>
        <v>0</v>
      </c>
      <c r="I50" s="396">
        <f t="shared" si="17"/>
        <v>0</v>
      </c>
      <c r="J50" s="299"/>
      <c r="K50" s="396">
        <f>'Variable &amp; Fixed'!N31</f>
        <v>0</v>
      </c>
      <c r="L50" s="400">
        <f t="shared" si="18"/>
        <v>0</v>
      </c>
      <c r="M50" s="401">
        <f t="shared" si="19"/>
        <v>0</v>
      </c>
      <c r="N50" s="190"/>
      <c r="O50" s="187"/>
      <c r="P50" s="191"/>
      <c r="Q50" s="187"/>
      <c r="R50" s="191"/>
      <c r="S50" s="189"/>
      <c r="T50" s="185"/>
      <c r="AE50" s="199"/>
      <c r="AG50" s="799"/>
      <c r="AH50" s="800"/>
      <c r="AI50" s="800"/>
      <c r="AL50" s="799"/>
      <c r="AM50" s="800"/>
      <c r="AN50" s="800"/>
    </row>
    <row r="51" spans="1:43" ht="19.5" customHeight="1">
      <c r="A51" s="364" t="s">
        <v>418</v>
      </c>
      <c r="B51" s="180"/>
      <c r="C51" s="396"/>
      <c r="D51" s="397">
        <f t="shared" si="14"/>
        <v>0</v>
      </c>
      <c r="E51" s="396">
        <f>C51*$C$10</f>
        <v>0</v>
      </c>
      <c r="F51" s="374"/>
      <c r="G51" s="396">
        <f>'Loans &amp; Financing'!U10</f>
        <v>0</v>
      </c>
      <c r="H51" s="400">
        <f>G51</f>
        <v>0</v>
      </c>
      <c r="I51" s="396">
        <f>G51*$G$10</f>
        <v>0</v>
      </c>
      <c r="J51" s="374"/>
      <c r="K51" s="399">
        <f>'Loans &amp; Financing'!V10</f>
        <v>0</v>
      </c>
      <c r="L51" s="400">
        <f t="shared" si="18"/>
        <v>0</v>
      </c>
      <c r="M51" s="401">
        <f t="shared" si="19"/>
        <v>0</v>
      </c>
      <c r="N51" s="190"/>
      <c r="O51" s="187"/>
      <c r="P51" s="191"/>
      <c r="Q51" s="187"/>
      <c r="R51" s="191"/>
      <c r="S51" s="189"/>
      <c r="T51" s="185"/>
      <c r="AE51" s="791"/>
      <c r="AF51" s="791"/>
      <c r="AH51" s="793"/>
      <c r="AM51" s="793"/>
      <c r="AP51" s="791"/>
      <c r="AQ51" s="791"/>
    </row>
    <row r="52" spans="1:43">
      <c r="A52" s="426" t="s">
        <v>302</v>
      </c>
      <c r="B52" s="180"/>
      <c r="C52" s="396">
        <f>'Variable &amp; Fixed'!G32</f>
        <v>0</v>
      </c>
      <c r="D52" s="397">
        <f>C52</f>
        <v>0</v>
      </c>
      <c r="E52" s="396">
        <f>C52*$C$10</f>
        <v>0</v>
      </c>
      <c r="F52" s="374"/>
      <c r="G52" s="396">
        <f>'Variable &amp; Fixed'!L32</f>
        <v>0</v>
      </c>
      <c r="H52" s="400">
        <f>G52</f>
        <v>0</v>
      </c>
      <c r="I52" s="396">
        <f>G52*$G$10</f>
        <v>0</v>
      </c>
      <c r="J52" s="374"/>
      <c r="K52" s="399">
        <f>'Variable &amp; Fixed'!R32</f>
        <v>0</v>
      </c>
      <c r="L52" s="400">
        <f>K52</f>
        <v>0</v>
      </c>
      <c r="M52" s="401">
        <f>K52*$K$10</f>
        <v>0</v>
      </c>
      <c r="N52" s="190"/>
      <c r="O52" s="187"/>
      <c r="P52" s="191"/>
      <c r="Q52" s="187"/>
      <c r="R52" s="191"/>
      <c r="S52" s="189"/>
      <c r="T52" s="185"/>
      <c r="V52" s="345"/>
      <c r="AE52" s="791"/>
      <c r="AF52" s="791"/>
      <c r="AH52" s="793"/>
      <c r="AM52" s="793"/>
      <c r="AP52" s="791"/>
      <c r="AQ52" s="791"/>
    </row>
    <row r="53" spans="1:43" ht="19.5" thickBot="1">
      <c r="A53" s="428" t="s">
        <v>415</v>
      </c>
      <c r="B53" s="141"/>
      <c r="C53" s="402">
        <f>SUM(C20:C52)</f>
        <v>0</v>
      </c>
      <c r="D53" s="403"/>
      <c r="E53" s="404">
        <f>SUM(E20:E52)</f>
        <v>0</v>
      </c>
      <c r="F53" s="405"/>
      <c r="G53" s="406">
        <f>SUM(G20:G52)</f>
        <v>0</v>
      </c>
      <c r="H53" s="388"/>
      <c r="I53" s="407">
        <f>SUM(I20:I52)</f>
        <v>0</v>
      </c>
      <c r="J53" s="405"/>
      <c r="K53" s="406">
        <f>SUM(K20:K52)</f>
        <v>0</v>
      </c>
      <c r="L53" s="388"/>
      <c r="M53" s="408">
        <f>SUM(M20:M52)</f>
        <v>0</v>
      </c>
      <c r="N53" s="190"/>
      <c r="O53" s="187"/>
      <c r="P53" s="191"/>
      <c r="Q53" s="187"/>
      <c r="R53" s="191"/>
      <c r="S53" s="189"/>
      <c r="T53" s="185"/>
      <c r="V53" s="345"/>
      <c r="AG53" s="799"/>
      <c r="AH53" s="794"/>
      <c r="AI53" s="794"/>
      <c r="AJ53" s="794"/>
      <c r="AL53" s="799"/>
      <c r="AM53" s="794"/>
      <c r="AN53" s="794"/>
    </row>
    <row r="54" spans="1:43" ht="19.5" thickTop="1">
      <c r="A54" s="563" t="s">
        <v>481</v>
      </c>
      <c r="B54" s="319"/>
      <c r="C54" s="409">
        <f>C16-C53</f>
        <v>0</v>
      </c>
      <c r="D54" s="410"/>
      <c r="E54" s="409">
        <f>C54*C10</f>
        <v>0</v>
      </c>
      <c r="F54" s="411"/>
      <c r="G54" s="409">
        <f>G16-G53</f>
        <v>0</v>
      </c>
      <c r="H54" s="410"/>
      <c r="I54" s="409">
        <f>G54*G10</f>
        <v>0</v>
      </c>
      <c r="J54" s="411"/>
      <c r="K54" s="409">
        <f>K16-K53</f>
        <v>0</v>
      </c>
      <c r="L54" s="410"/>
      <c r="M54" s="412">
        <f>K54*K10</f>
        <v>0</v>
      </c>
      <c r="N54" s="190"/>
      <c r="O54" s="187"/>
      <c r="P54" s="191"/>
      <c r="Q54" s="187"/>
      <c r="R54" s="191"/>
      <c r="S54" s="189"/>
      <c r="T54" s="185"/>
      <c r="V54" s="345"/>
      <c r="AF54" s="793"/>
      <c r="AG54" s="799"/>
      <c r="AH54" s="795"/>
      <c r="AI54" s="794"/>
      <c r="AJ54" s="793"/>
      <c r="AK54" s="793"/>
      <c r="AL54" s="799"/>
      <c r="AM54" s="795"/>
      <c r="AN54" s="794"/>
      <c r="AO54" s="793"/>
    </row>
    <row r="55" spans="1:43">
      <c r="A55" s="566" t="s">
        <v>482</v>
      </c>
      <c r="B55" s="52"/>
      <c r="C55" s="413"/>
      <c r="D55" s="414"/>
      <c r="E55" s="375"/>
      <c r="F55" s="374"/>
      <c r="G55" s="413"/>
      <c r="H55" s="377"/>
      <c r="I55" s="375"/>
      <c r="J55" s="374"/>
      <c r="K55" s="413"/>
      <c r="L55" s="377"/>
      <c r="M55" s="372"/>
      <c r="N55" s="186"/>
      <c r="O55" s="187"/>
      <c r="P55" s="188"/>
      <c r="Q55" s="187"/>
      <c r="R55" s="188"/>
      <c r="S55" s="189"/>
      <c r="AG55" s="799"/>
      <c r="AH55" s="800"/>
      <c r="AI55" s="800"/>
      <c r="AJ55" s="796"/>
      <c r="AL55" s="799"/>
      <c r="AM55" s="800"/>
      <c r="AN55" s="800"/>
    </row>
    <row r="56" spans="1:43">
      <c r="A56" s="424" t="s">
        <v>416</v>
      </c>
      <c r="B56" s="117"/>
      <c r="C56" s="392" t="s">
        <v>65</v>
      </c>
      <c r="D56" s="393"/>
      <c r="E56" s="394" t="s">
        <v>268</v>
      </c>
      <c r="F56" s="385"/>
      <c r="G56" s="392" t="s">
        <v>65</v>
      </c>
      <c r="H56" s="393"/>
      <c r="I56" s="394" t="s">
        <v>268</v>
      </c>
      <c r="J56" s="385"/>
      <c r="K56" s="392" t="s">
        <v>65</v>
      </c>
      <c r="L56" s="393"/>
      <c r="M56" s="395" t="s">
        <v>268</v>
      </c>
      <c r="N56" s="190" t="e">
        <f>'Variable &amp; Fixed'!#REF!</f>
        <v>#REF!</v>
      </c>
      <c r="O56" s="187" t="e">
        <f>N56*$C$10</f>
        <v>#REF!</v>
      </c>
      <c r="P56" s="191" t="e">
        <f>'Variable &amp; Fixed'!#REF!</f>
        <v>#REF!</v>
      </c>
      <c r="Q56" s="187" t="e">
        <f>P56*$C$10</f>
        <v>#REF!</v>
      </c>
      <c r="R56" s="191" t="e">
        <f>'Variable &amp; Fixed'!#REF!</f>
        <v>#REF!</v>
      </c>
      <c r="S56" s="189" t="e">
        <f>R56*$C$10</f>
        <v>#REF!</v>
      </c>
      <c r="T56" s="185"/>
      <c r="AH56" s="793"/>
      <c r="AM56" s="793"/>
    </row>
    <row r="57" spans="1:43">
      <c r="A57" s="425" t="s">
        <v>250</v>
      </c>
      <c r="B57" s="2"/>
      <c r="C57" s="415">
        <f>'Variable &amp; Fixed'!G36</f>
        <v>0</v>
      </c>
      <c r="D57" s="400">
        <f t="shared" ref="D57:D61" si="20">C57</f>
        <v>0</v>
      </c>
      <c r="E57" s="415">
        <f t="shared" ref="E57" si="21">C57*$C$10</f>
        <v>0</v>
      </c>
      <c r="F57" s="374"/>
      <c r="G57" s="415">
        <f>'Variable &amp; Fixed'!L36</f>
        <v>0</v>
      </c>
      <c r="H57" s="400">
        <f t="shared" ref="H57:H61" si="22">G57</f>
        <v>0</v>
      </c>
      <c r="I57" s="415">
        <f>G57*$G$10</f>
        <v>0</v>
      </c>
      <c r="J57" s="374"/>
      <c r="K57" s="415">
        <f>'Variable &amp; Fixed'!R36</f>
        <v>0</v>
      </c>
      <c r="L57" s="400">
        <f t="shared" ref="L57:L61" si="23">K57</f>
        <v>0</v>
      </c>
      <c r="M57" s="401">
        <f t="shared" si="8"/>
        <v>0</v>
      </c>
      <c r="N57" s="190" t="e">
        <f>'Variable &amp; Fixed'!#REF!</f>
        <v>#REF!</v>
      </c>
      <c r="O57" s="187" t="e">
        <f>N57*$C$10</f>
        <v>#REF!</v>
      </c>
      <c r="P57" s="191" t="e">
        <f>'Variable &amp; Fixed'!#REF!</f>
        <v>#REF!</v>
      </c>
      <c r="Q57" s="187" t="e">
        <f>P57*$C$10</f>
        <v>#REF!</v>
      </c>
      <c r="R57" s="191" t="e">
        <f>'Variable &amp; Fixed'!#REF!</f>
        <v>#REF!</v>
      </c>
      <c r="S57" s="189" t="e">
        <f>R57*$C$10</f>
        <v>#REF!</v>
      </c>
      <c r="T57" s="185"/>
      <c r="AJ57" s="797"/>
      <c r="AK57" s="797"/>
    </row>
    <row r="58" spans="1:43">
      <c r="A58" s="364" t="s">
        <v>310</v>
      </c>
      <c r="B58" s="2"/>
      <c r="C58" s="396">
        <f>'Variable &amp; Fixed'!G37</f>
        <v>0</v>
      </c>
      <c r="D58" s="400">
        <f t="shared" si="20"/>
        <v>0</v>
      </c>
      <c r="E58" s="396">
        <f>C58*$C$10</f>
        <v>0</v>
      </c>
      <c r="F58" s="374"/>
      <c r="G58" s="396">
        <f>'Variable &amp; Fixed'!L37</f>
        <v>0</v>
      </c>
      <c r="H58" s="400">
        <f t="shared" si="22"/>
        <v>0</v>
      </c>
      <c r="I58" s="396">
        <f>G58*$G$10</f>
        <v>0</v>
      </c>
      <c r="J58" s="374"/>
      <c r="K58" s="396">
        <f>'Variable &amp; Fixed'!R37</f>
        <v>0</v>
      </c>
      <c r="L58" s="400">
        <f t="shared" si="23"/>
        <v>0</v>
      </c>
      <c r="M58" s="401">
        <f>K58*$K$10</f>
        <v>0</v>
      </c>
      <c r="N58" s="186"/>
      <c r="O58" s="187"/>
      <c r="P58" s="188"/>
      <c r="Q58" s="187"/>
      <c r="R58" s="188"/>
      <c r="S58" s="189"/>
      <c r="V58" s="345"/>
      <c r="AJ58" s="797"/>
      <c r="AK58" s="797"/>
    </row>
    <row r="59" spans="1:43">
      <c r="A59" s="364" t="s">
        <v>208</v>
      </c>
      <c r="B59" s="180"/>
      <c r="C59" s="398">
        <f>'Variable &amp; Fixed'!G38</f>
        <v>0</v>
      </c>
      <c r="D59" s="400">
        <f t="shared" si="20"/>
        <v>0</v>
      </c>
      <c r="E59" s="398">
        <f>C59*$C$10</f>
        <v>0</v>
      </c>
      <c r="F59" s="374"/>
      <c r="G59" s="396">
        <f>'Variable &amp; Fixed'!L38</f>
        <v>0</v>
      </c>
      <c r="H59" s="400">
        <f t="shared" si="22"/>
        <v>0</v>
      </c>
      <c r="I59" s="396">
        <f>G59*$G$10</f>
        <v>0</v>
      </c>
      <c r="J59" s="374"/>
      <c r="K59" s="396">
        <f>'Variable &amp; Fixed'!R38</f>
        <v>0</v>
      </c>
      <c r="L59" s="400">
        <f t="shared" si="23"/>
        <v>0</v>
      </c>
      <c r="M59" s="401">
        <f>K59*$K$10</f>
        <v>0</v>
      </c>
      <c r="N59" s="194"/>
      <c r="O59" s="195"/>
      <c r="P59" s="194"/>
      <c r="Q59" s="195"/>
      <c r="R59" s="194"/>
      <c r="S59" s="196"/>
      <c r="V59" s="345"/>
    </row>
    <row r="60" spans="1:43">
      <c r="A60" s="364" t="s">
        <v>417</v>
      </c>
      <c r="B60" s="2"/>
      <c r="C60" s="396">
        <f>'Capital &amp; Opportunity'!C12</f>
        <v>0</v>
      </c>
      <c r="D60" s="400">
        <f t="shared" si="20"/>
        <v>0</v>
      </c>
      <c r="E60" s="396">
        <f>C60*$C$10</f>
        <v>0</v>
      </c>
      <c r="F60" s="374"/>
      <c r="G60" s="396">
        <f>'Capital &amp; Opportunity'!D12</f>
        <v>0</v>
      </c>
      <c r="H60" s="400">
        <f t="shared" si="22"/>
        <v>0</v>
      </c>
      <c r="I60" s="396">
        <f>G60*$G$10</f>
        <v>0</v>
      </c>
      <c r="J60" s="374"/>
      <c r="K60" s="396">
        <f>'Capital &amp; Opportunity'!E12</f>
        <v>0</v>
      </c>
      <c r="L60" s="400">
        <f t="shared" si="23"/>
        <v>0</v>
      </c>
      <c r="M60" s="401">
        <f>K60*$K$10</f>
        <v>0</v>
      </c>
      <c r="N60" s="194"/>
      <c r="O60" s="195"/>
      <c r="P60" s="194"/>
      <c r="Q60" s="195"/>
      <c r="R60" s="194"/>
      <c r="S60" s="196"/>
      <c r="V60" s="345"/>
    </row>
    <row r="61" spans="1:43" ht="18.75" customHeight="1">
      <c r="A61" s="426" t="s">
        <v>302</v>
      </c>
      <c r="B61" s="2"/>
      <c r="C61" s="398">
        <f>'Variable &amp; Fixed'!G39</f>
        <v>0</v>
      </c>
      <c r="D61" s="400">
        <f t="shared" si="20"/>
        <v>0</v>
      </c>
      <c r="E61" s="398">
        <f>C61*$C$10</f>
        <v>0</v>
      </c>
      <c r="F61" s="374"/>
      <c r="G61" s="396">
        <f>'Variable &amp; Fixed'!L39</f>
        <v>0</v>
      </c>
      <c r="H61" s="400">
        <f t="shared" si="22"/>
        <v>0</v>
      </c>
      <c r="I61" s="396">
        <f>G61*$G$10</f>
        <v>0</v>
      </c>
      <c r="J61" s="374"/>
      <c r="K61" s="396">
        <f>'Variable &amp; Fixed'!R39</f>
        <v>0</v>
      </c>
      <c r="L61" s="400">
        <f t="shared" si="23"/>
        <v>0</v>
      </c>
      <c r="M61" s="401">
        <f>K61*$K$10</f>
        <v>0</v>
      </c>
      <c r="N61" s="194"/>
      <c r="O61" s="195"/>
      <c r="P61" s="194"/>
      <c r="Q61" s="195"/>
      <c r="R61" s="194"/>
      <c r="S61" s="196"/>
      <c r="AG61" s="792"/>
      <c r="AH61" s="792"/>
      <c r="AI61" s="792"/>
      <c r="AJ61" s="792"/>
      <c r="AK61" s="792"/>
      <c r="AL61" s="792"/>
      <c r="AM61" s="792"/>
      <c r="AN61" s="792"/>
      <c r="AO61" s="792"/>
      <c r="AP61" s="792"/>
      <c r="AQ61" s="792"/>
    </row>
    <row r="62" spans="1:43" ht="18.75" customHeight="1">
      <c r="A62" s="427" t="s">
        <v>413</v>
      </c>
      <c r="B62" s="141"/>
      <c r="C62" s="416">
        <f>SUM(C57:C61)</f>
        <v>0</v>
      </c>
      <c r="D62" s="417"/>
      <c r="E62" s="416">
        <f>SUM(E57:E61)</f>
        <v>0</v>
      </c>
      <c r="F62" s="405"/>
      <c r="G62" s="416">
        <f>SUM(G57:G61)</f>
        <v>0</v>
      </c>
      <c r="H62" s="417"/>
      <c r="I62" s="416">
        <f>SUM(I57:I61)</f>
        <v>0</v>
      </c>
      <c r="J62" s="405"/>
      <c r="K62" s="416">
        <f>SUM(K57:K61)</f>
        <v>0</v>
      </c>
      <c r="L62" s="417"/>
      <c r="M62" s="418">
        <f>SUM(M57:M61)</f>
        <v>0</v>
      </c>
      <c r="N62" s="186"/>
      <c r="O62" s="187"/>
      <c r="P62" s="188"/>
      <c r="Q62" s="187"/>
      <c r="R62" s="188"/>
      <c r="S62" s="189"/>
      <c r="AE62" s="792"/>
      <c r="AF62" s="792"/>
      <c r="AG62" s="792"/>
      <c r="AH62" s="792"/>
      <c r="AI62" s="792"/>
      <c r="AJ62" s="792"/>
      <c r="AK62" s="792"/>
      <c r="AL62" s="792"/>
      <c r="AM62" s="792"/>
      <c r="AN62" s="792"/>
      <c r="AO62" s="792"/>
      <c r="AP62" s="792"/>
    </row>
    <row r="63" spans="1:43" ht="19.5" thickBot="1">
      <c r="A63" s="428" t="s">
        <v>414</v>
      </c>
      <c r="B63" s="141"/>
      <c r="C63" s="419">
        <f>C53+C62</f>
        <v>0</v>
      </c>
      <c r="D63" s="388"/>
      <c r="E63" s="419">
        <f>E53+E62</f>
        <v>0</v>
      </c>
      <c r="F63" s="405"/>
      <c r="G63" s="419">
        <f>G53+G62</f>
        <v>0</v>
      </c>
      <c r="H63" s="388"/>
      <c r="I63" s="419">
        <f>I53+I62</f>
        <v>0</v>
      </c>
      <c r="J63" s="405"/>
      <c r="K63" s="419">
        <f>K53+K62</f>
        <v>0</v>
      </c>
      <c r="L63" s="388"/>
      <c r="M63" s="420">
        <f>M53+M62</f>
        <v>0</v>
      </c>
      <c r="N63" s="186"/>
      <c r="O63" s="187"/>
      <c r="P63" s="188"/>
      <c r="Q63" s="187"/>
      <c r="R63" s="188"/>
      <c r="S63" s="189"/>
      <c r="AE63" s="792"/>
      <c r="AF63" s="792"/>
      <c r="AG63" s="792"/>
      <c r="AH63" s="792"/>
      <c r="AI63" s="792"/>
      <c r="AJ63" s="792"/>
      <c r="AK63" s="792"/>
      <c r="AL63" s="792"/>
      <c r="AM63" s="792"/>
      <c r="AN63" s="792"/>
      <c r="AO63" s="792"/>
      <c r="AP63" s="792"/>
    </row>
    <row r="64" spans="1:43" ht="19.5" thickTop="1">
      <c r="A64" s="562" t="s">
        <v>476</v>
      </c>
      <c r="B64" s="320"/>
      <c r="C64" s="421">
        <f>C16-C63</f>
        <v>0</v>
      </c>
      <c r="D64" s="421"/>
      <c r="E64" s="421">
        <f>C64*C10</f>
        <v>0</v>
      </c>
      <c r="F64" s="422"/>
      <c r="G64" s="421">
        <f>G16-G63</f>
        <v>0</v>
      </c>
      <c r="H64" s="421"/>
      <c r="I64" s="421">
        <f>G64*G10</f>
        <v>0</v>
      </c>
      <c r="J64" s="422"/>
      <c r="K64" s="421">
        <f>K16-K63</f>
        <v>0</v>
      </c>
      <c r="L64" s="421"/>
      <c r="M64" s="423">
        <f>K64*K10</f>
        <v>0</v>
      </c>
      <c r="N64" s="194"/>
      <c r="O64" s="195"/>
      <c r="P64" s="194"/>
      <c r="Q64" s="195"/>
      <c r="R64" s="194"/>
      <c r="S64" s="195"/>
      <c r="V64" s="345"/>
    </row>
    <row r="65" spans="1:22" ht="19.5" thickBot="1">
      <c r="A65" s="565" t="s">
        <v>477</v>
      </c>
      <c r="B65" s="136"/>
      <c r="C65" s="316"/>
      <c r="D65" s="216"/>
      <c r="E65" s="317"/>
      <c r="F65" s="215"/>
      <c r="G65" s="316"/>
      <c r="H65" s="216"/>
      <c r="I65" s="317"/>
      <c r="J65" s="215"/>
      <c r="K65" s="316"/>
      <c r="L65" s="216"/>
      <c r="M65" s="318"/>
      <c r="N65" s="194"/>
      <c r="O65" s="195"/>
      <c r="P65" s="194"/>
      <c r="Q65" s="195"/>
      <c r="R65" s="194"/>
      <c r="S65" s="195"/>
      <c r="V65" s="345"/>
    </row>
    <row r="66" spans="1:22">
      <c r="A66" s="907" t="s">
        <v>349</v>
      </c>
      <c r="B66" s="908"/>
      <c r="C66" s="908"/>
      <c r="D66" s="908"/>
      <c r="E66" s="908"/>
      <c r="F66" s="908"/>
      <c r="G66" s="908"/>
      <c r="H66" s="908"/>
      <c r="I66" s="908"/>
      <c r="J66" s="908"/>
      <c r="K66" s="908"/>
      <c r="L66" s="908"/>
      <c r="M66" s="909"/>
      <c r="V66" s="345"/>
    </row>
    <row r="67" spans="1:22">
      <c r="A67" s="424" t="s">
        <v>427</v>
      </c>
      <c r="B67" s="117"/>
      <c r="C67" s="392" t="s">
        <v>65</v>
      </c>
      <c r="D67" s="393"/>
      <c r="E67" s="394" t="s">
        <v>268</v>
      </c>
      <c r="F67" s="385"/>
      <c r="G67" s="392" t="s">
        <v>65</v>
      </c>
      <c r="H67" s="393"/>
      <c r="I67" s="394" t="s">
        <v>268</v>
      </c>
      <c r="J67" s="385"/>
      <c r="K67" s="392" t="s">
        <v>65</v>
      </c>
      <c r="L67" s="393"/>
      <c r="M67" s="395" t="s">
        <v>268</v>
      </c>
      <c r="N67" s="186"/>
      <c r="O67" s="187"/>
      <c r="P67" s="188"/>
      <c r="Q67" s="187"/>
      <c r="R67" s="188"/>
      <c r="S67" s="189"/>
    </row>
    <row r="68" spans="1:22">
      <c r="A68" s="364" t="s">
        <v>266</v>
      </c>
      <c r="B68" s="180"/>
      <c r="C68" s="415">
        <f>'Capital &amp; Opportunity'!C13</f>
        <v>0</v>
      </c>
      <c r="D68" s="399">
        <f t="shared" ref="D68:D71" si="24">C68</f>
        <v>0</v>
      </c>
      <c r="E68" s="415">
        <f>C68*$C$10</f>
        <v>0</v>
      </c>
      <c r="F68" s="374"/>
      <c r="G68" s="415">
        <f>'Capital &amp; Opportunity'!D13</f>
        <v>0</v>
      </c>
      <c r="H68" s="400">
        <f t="shared" ref="H68:H71" si="25">G68</f>
        <v>0</v>
      </c>
      <c r="I68" s="415">
        <f>G68*$G$10</f>
        <v>0</v>
      </c>
      <c r="J68" s="374"/>
      <c r="K68" s="415">
        <f>'Capital &amp; Opportunity'!E13</f>
        <v>0</v>
      </c>
      <c r="L68" s="400">
        <f t="shared" ref="L68:L71" si="26">K68</f>
        <v>0</v>
      </c>
      <c r="M68" s="401">
        <f>K68*$K$10</f>
        <v>0</v>
      </c>
      <c r="N68" s="197">
        <v>0</v>
      </c>
      <c r="O68" s="187">
        <v>0</v>
      </c>
      <c r="P68" s="198">
        <v>0</v>
      </c>
      <c r="Q68" s="187">
        <v>0</v>
      </c>
      <c r="R68" s="198">
        <v>0</v>
      </c>
      <c r="S68" s="189">
        <v>0</v>
      </c>
      <c r="T68" s="185"/>
    </row>
    <row r="69" spans="1:22">
      <c r="A69" s="364" t="s">
        <v>419</v>
      </c>
      <c r="B69" s="180"/>
      <c r="C69" s="396">
        <f>'Capital &amp; Opportunity'!C14</f>
        <v>0</v>
      </c>
      <c r="D69" s="399">
        <f t="shared" si="24"/>
        <v>0</v>
      </c>
      <c r="E69" s="396">
        <f>C69*$C$10</f>
        <v>0</v>
      </c>
      <c r="F69" s="374"/>
      <c r="G69" s="396">
        <f>'Capital &amp; Opportunity'!D14</f>
        <v>0</v>
      </c>
      <c r="H69" s="400">
        <f t="shared" si="25"/>
        <v>0</v>
      </c>
      <c r="I69" s="396">
        <f>G69*$G$10</f>
        <v>0</v>
      </c>
      <c r="J69" s="374"/>
      <c r="K69" s="396">
        <f>'Capital &amp; Opportunity'!E14</f>
        <v>0</v>
      </c>
      <c r="L69" s="400">
        <f t="shared" si="26"/>
        <v>0</v>
      </c>
      <c r="M69" s="401">
        <f>K69*$K$10</f>
        <v>0</v>
      </c>
      <c r="N69" s="197"/>
      <c r="O69" s="187"/>
      <c r="P69" s="198"/>
      <c r="Q69" s="187"/>
      <c r="R69" s="198"/>
      <c r="S69" s="189"/>
      <c r="T69" s="185"/>
    </row>
    <row r="70" spans="1:22">
      <c r="A70" s="364" t="s">
        <v>420</v>
      </c>
      <c r="B70" s="2"/>
      <c r="C70" s="396">
        <f>'Loans &amp; Financing'!T11+'Loans &amp; Financing'!T12</f>
        <v>0</v>
      </c>
      <c r="D70" s="399">
        <f t="shared" si="24"/>
        <v>0</v>
      </c>
      <c r="E70" s="396">
        <f>C70*$C$10</f>
        <v>0</v>
      </c>
      <c r="F70" s="374"/>
      <c r="G70" s="396">
        <f>'Loans &amp; Financing'!U11+'Loans &amp; Financing'!U12</f>
        <v>0</v>
      </c>
      <c r="H70" s="400">
        <f t="shared" si="25"/>
        <v>0</v>
      </c>
      <c r="I70" s="396">
        <f>G70*$G$10</f>
        <v>0</v>
      </c>
      <c r="J70" s="374"/>
      <c r="K70" s="396">
        <f>'Loans &amp; Financing'!V11+'Loans &amp; Financing'!V12</f>
        <v>0</v>
      </c>
      <c r="L70" s="400">
        <f t="shared" si="26"/>
        <v>0</v>
      </c>
      <c r="M70" s="401">
        <f>K70*$K$10</f>
        <v>0</v>
      </c>
      <c r="N70" s="197"/>
      <c r="O70" s="187"/>
      <c r="P70" s="198"/>
      <c r="Q70" s="187"/>
      <c r="R70" s="198"/>
      <c r="S70" s="189"/>
      <c r="T70" s="185"/>
    </row>
    <row r="71" spans="1:22">
      <c r="A71" s="364" t="s">
        <v>267</v>
      </c>
      <c r="B71" s="2"/>
      <c r="C71" s="396">
        <f>'Loans &amp; Financing'!T14+'Loans &amp; Financing'!T15</f>
        <v>0</v>
      </c>
      <c r="D71" s="399">
        <f t="shared" si="24"/>
        <v>0</v>
      </c>
      <c r="E71" s="396">
        <f>C71*$C$10</f>
        <v>0</v>
      </c>
      <c r="F71" s="374"/>
      <c r="G71" s="396">
        <f>'Loans &amp; Financing'!U14+'Loans &amp; Financing'!U15</f>
        <v>0</v>
      </c>
      <c r="H71" s="400">
        <f t="shared" si="25"/>
        <v>0</v>
      </c>
      <c r="I71" s="396">
        <f>G71*$G$10</f>
        <v>0</v>
      </c>
      <c r="J71" s="374"/>
      <c r="K71" s="396">
        <f>'Loans &amp; Financing'!V14+'Loans &amp; Financing'!V15</f>
        <v>0</v>
      </c>
      <c r="L71" s="400">
        <f t="shared" si="26"/>
        <v>0</v>
      </c>
      <c r="M71" s="401">
        <f>K71*$K$10</f>
        <v>0</v>
      </c>
      <c r="N71" s="186"/>
      <c r="O71" s="187"/>
      <c r="P71" s="188"/>
      <c r="Q71" s="187"/>
      <c r="R71" s="188"/>
      <c r="S71" s="189"/>
    </row>
    <row r="72" spans="1:22">
      <c r="A72" s="429" t="s">
        <v>428</v>
      </c>
      <c r="B72" s="141"/>
      <c r="C72" s="431">
        <f>SUM(C68:C71)</f>
        <v>0</v>
      </c>
      <c r="D72" s="432"/>
      <c r="E72" s="431">
        <f>SUM(E68:E71)</f>
        <v>0</v>
      </c>
      <c r="F72" s="405"/>
      <c r="G72" s="431">
        <f>SUM(G68:G71)</f>
        <v>0</v>
      </c>
      <c r="H72" s="432"/>
      <c r="I72" s="431">
        <f>SUM(I68:I71)</f>
        <v>0</v>
      </c>
      <c r="J72" s="405"/>
      <c r="K72" s="431">
        <f>SUM(K68:K71)</f>
        <v>0</v>
      </c>
      <c r="L72" s="432"/>
      <c r="M72" s="433">
        <f>SUM(M68:M71)</f>
        <v>0</v>
      </c>
      <c r="N72" s="194"/>
      <c r="O72" s="195"/>
      <c r="P72" s="194"/>
      <c r="Q72" s="195"/>
      <c r="R72" s="194"/>
      <c r="S72" s="196"/>
    </row>
    <row r="73" spans="1:22" ht="19.5" thickBot="1">
      <c r="A73" s="430" t="s">
        <v>429</v>
      </c>
      <c r="B73" s="141"/>
      <c r="C73" s="419">
        <f>C72+C63</f>
        <v>0</v>
      </c>
      <c r="D73" s="434"/>
      <c r="E73" s="419">
        <f>C73*C10</f>
        <v>0</v>
      </c>
      <c r="F73" s="432"/>
      <c r="G73" s="419">
        <f>G72+G63</f>
        <v>0</v>
      </c>
      <c r="H73" s="434"/>
      <c r="I73" s="419">
        <f>G73*G10</f>
        <v>0</v>
      </c>
      <c r="J73" s="432"/>
      <c r="K73" s="419">
        <f>K72+K63</f>
        <v>0</v>
      </c>
      <c r="L73" s="434"/>
      <c r="M73" s="420">
        <f>K73*K10</f>
        <v>0</v>
      </c>
      <c r="N73" s="194"/>
      <c r="O73" s="195"/>
      <c r="P73" s="194"/>
      <c r="Q73" s="195"/>
      <c r="R73" s="194"/>
      <c r="S73" s="196"/>
    </row>
    <row r="74" spans="1:22" ht="19.5" thickTop="1">
      <c r="A74" s="561" t="s">
        <v>358</v>
      </c>
      <c r="B74" s="321"/>
      <c r="C74" s="421">
        <f>(C16-C73)+C60</f>
        <v>0</v>
      </c>
      <c r="D74" s="421"/>
      <c r="E74" s="421">
        <f>C74*C10</f>
        <v>0</v>
      </c>
      <c r="F74" s="435"/>
      <c r="G74" s="421">
        <f>(G16-G73)+G60</f>
        <v>0</v>
      </c>
      <c r="H74" s="421"/>
      <c r="I74" s="421">
        <f>G74*G10</f>
        <v>0</v>
      </c>
      <c r="J74" s="435"/>
      <c r="K74" s="421">
        <f>(K16-K73)+K60</f>
        <v>0</v>
      </c>
      <c r="L74" s="421"/>
      <c r="M74" s="423">
        <f>K74*K10</f>
        <v>0</v>
      </c>
      <c r="N74" s="194"/>
      <c r="O74" s="195"/>
      <c r="P74" s="194"/>
      <c r="Q74" s="195"/>
      <c r="R74" s="194"/>
      <c r="S74" s="196"/>
    </row>
    <row r="75" spans="1:22" ht="16.5" customHeight="1" thickBot="1">
      <c r="A75" s="564" t="s">
        <v>475</v>
      </c>
      <c r="B75" s="141"/>
      <c r="C75" s="436"/>
      <c r="D75" s="437"/>
      <c r="E75" s="438"/>
      <c r="F75" s="437"/>
      <c r="G75" s="436"/>
      <c r="H75" s="437"/>
      <c r="I75" s="438"/>
      <c r="J75" s="437"/>
      <c r="K75" s="436"/>
      <c r="L75" s="437"/>
      <c r="M75" s="439"/>
      <c r="N75" s="194"/>
      <c r="O75" s="195"/>
      <c r="P75" s="194"/>
      <c r="Q75" s="195"/>
      <c r="R75" s="194"/>
      <c r="S75" s="196"/>
    </row>
    <row r="76" spans="1:22" ht="16.5" hidden="1" customHeight="1" thickBot="1">
      <c r="A76" s="918" t="s">
        <v>348</v>
      </c>
      <c r="B76" s="919"/>
      <c r="C76" s="919"/>
      <c r="D76" s="919"/>
      <c r="E76" s="919"/>
      <c r="F76" s="919"/>
      <c r="G76" s="919"/>
      <c r="H76" s="919"/>
      <c r="I76" s="919"/>
      <c r="J76" s="919"/>
      <c r="K76" s="919"/>
      <c r="L76" s="919"/>
      <c r="M76" s="920"/>
      <c r="N76" s="194"/>
      <c r="O76" s="195"/>
      <c r="P76" s="194"/>
      <c r="Q76" s="195"/>
      <c r="R76" s="194"/>
      <c r="S76" s="196"/>
    </row>
    <row r="77" spans="1:22" ht="16.5" hidden="1" customHeight="1">
      <c r="A77" s="278" t="s">
        <v>319</v>
      </c>
      <c r="B77" s="117"/>
      <c r="C77" s="207" t="s">
        <v>65</v>
      </c>
      <c r="D77" s="208"/>
      <c r="E77" s="209" t="s">
        <v>268</v>
      </c>
      <c r="F77" s="65"/>
      <c r="G77" s="207" t="s">
        <v>65</v>
      </c>
      <c r="H77" s="208"/>
      <c r="I77" s="209" t="s">
        <v>268</v>
      </c>
      <c r="J77" s="65"/>
      <c r="K77" s="207" t="s">
        <v>65</v>
      </c>
      <c r="L77" s="208"/>
      <c r="M77" s="210" t="s">
        <v>268</v>
      </c>
      <c r="N77" s="194"/>
      <c r="O77" s="195"/>
      <c r="P77" s="194"/>
      <c r="Q77" s="195"/>
      <c r="R77" s="194"/>
      <c r="S77" s="196"/>
    </row>
    <row r="78" spans="1:22" ht="16.5" hidden="1" customHeight="1">
      <c r="A78" s="165" t="s">
        <v>311</v>
      </c>
      <c r="B78" s="180"/>
      <c r="C78" s="300">
        <f>'Capital &amp; Opportunity'!C26</f>
        <v>0</v>
      </c>
      <c r="D78" s="282">
        <f t="shared" ref="D78:D79" si="27">C78</f>
        <v>0</v>
      </c>
      <c r="E78" s="300">
        <f>C78*$C$10</f>
        <v>0</v>
      </c>
      <c r="F78" s="204"/>
      <c r="G78" s="300">
        <f>'Capital &amp; Opportunity'!D26</f>
        <v>0</v>
      </c>
      <c r="H78" s="212">
        <f t="shared" ref="H78:H79" si="28">G78</f>
        <v>0</v>
      </c>
      <c r="I78" s="300">
        <f>G78*$G$10</f>
        <v>0</v>
      </c>
      <c r="J78" s="204"/>
      <c r="K78" s="300">
        <f>'Capital &amp; Opportunity'!E26</f>
        <v>0</v>
      </c>
      <c r="L78" s="212">
        <f t="shared" ref="L78:L79" si="29">K78</f>
        <v>0</v>
      </c>
      <c r="M78" s="230">
        <f>K78*$K$10</f>
        <v>0</v>
      </c>
      <c r="N78" s="194"/>
      <c r="O78" s="195"/>
      <c r="P78" s="194"/>
      <c r="Q78" s="195"/>
      <c r="R78" s="194"/>
      <c r="S78" s="196"/>
    </row>
    <row r="79" spans="1:22" ht="16.5" hidden="1" customHeight="1">
      <c r="A79" s="165" t="s">
        <v>318</v>
      </c>
      <c r="B79" s="180"/>
      <c r="C79" s="229">
        <f>'Capital &amp; Opportunity'!C35</f>
        <v>0</v>
      </c>
      <c r="D79" s="282">
        <f t="shared" si="27"/>
        <v>0</v>
      </c>
      <c r="E79" s="229">
        <f>C79*$C$10</f>
        <v>0</v>
      </c>
      <c r="F79" s="204"/>
      <c r="G79" s="229">
        <f>'Capital &amp; Opportunity'!D35</f>
        <v>0</v>
      </c>
      <c r="H79" s="212">
        <f t="shared" si="28"/>
        <v>0</v>
      </c>
      <c r="I79" s="229">
        <f>G79*$G$10</f>
        <v>0</v>
      </c>
      <c r="J79" s="204"/>
      <c r="K79" s="229">
        <f>'Capital &amp; Opportunity'!E35</f>
        <v>0</v>
      </c>
      <c r="L79" s="212">
        <f t="shared" si="29"/>
        <v>0</v>
      </c>
      <c r="M79" s="230">
        <f>K79*$K$10</f>
        <v>0</v>
      </c>
      <c r="N79" s="194"/>
      <c r="O79" s="195"/>
      <c r="P79" s="194"/>
      <c r="Q79" s="195"/>
      <c r="R79" s="194"/>
      <c r="S79" s="196"/>
    </row>
    <row r="80" spans="1:22" ht="16.5" hidden="1" customHeight="1">
      <c r="A80" s="315" t="s">
        <v>320</v>
      </c>
      <c r="B80" s="141"/>
      <c r="C80" s="286">
        <f>SUM(C78:C79)</f>
        <v>0</v>
      </c>
      <c r="D80" s="284"/>
      <c r="E80" s="286">
        <f>SUM(E78:E79)</f>
        <v>0</v>
      </c>
      <c r="F80" s="213"/>
      <c r="G80" s="286">
        <f>SUM(G78:G79)</f>
        <v>0</v>
      </c>
      <c r="H80" s="284"/>
      <c r="I80" s="286">
        <f>SUM(I78:I79)</f>
        <v>0</v>
      </c>
      <c r="J80" s="213"/>
      <c r="K80" s="286">
        <f>SUM(K78:K79)</f>
        <v>0</v>
      </c>
      <c r="L80" s="284"/>
      <c r="M80" s="285">
        <f>SUM(M78:M79)</f>
        <v>0</v>
      </c>
      <c r="N80" s="194"/>
      <c r="O80" s="195"/>
      <c r="P80" s="194"/>
      <c r="Q80" s="195"/>
      <c r="R80" s="194"/>
      <c r="S80" s="196"/>
    </row>
    <row r="81" spans="1:19" ht="16.5" hidden="1" customHeight="1">
      <c r="A81" s="314" t="s">
        <v>321</v>
      </c>
      <c r="B81" s="141"/>
      <c r="C81" s="301">
        <f>C80+C73</f>
        <v>0</v>
      </c>
      <c r="D81" s="307"/>
      <c r="E81" s="301">
        <f>C81*C10</f>
        <v>0</v>
      </c>
      <c r="F81" s="213"/>
      <c r="G81" s="301">
        <f>G80+G73</f>
        <v>0</v>
      </c>
      <c r="H81" s="307"/>
      <c r="I81" s="301">
        <f>G81*G10</f>
        <v>0</v>
      </c>
      <c r="J81" s="213"/>
      <c r="K81" s="301">
        <f>K80+K73</f>
        <v>0</v>
      </c>
      <c r="L81" s="214"/>
      <c r="M81" s="231">
        <f>K81*K10</f>
        <v>0</v>
      </c>
      <c r="N81" s="194"/>
      <c r="O81" s="195"/>
      <c r="P81" s="194"/>
      <c r="Q81" s="195"/>
      <c r="R81" s="194"/>
      <c r="S81" s="196"/>
    </row>
    <row r="82" spans="1:19" ht="16.5" hidden="1" customHeight="1">
      <c r="A82" s="322" t="s">
        <v>350</v>
      </c>
      <c r="B82" s="323"/>
      <c r="C82" s="324">
        <f>(C16-C81)+C60</f>
        <v>0</v>
      </c>
      <c r="D82" s="325"/>
      <c r="E82" s="324">
        <f>C82*C10</f>
        <v>0</v>
      </c>
      <c r="F82" s="326"/>
      <c r="G82" s="324">
        <f>(G16-G81)+G60</f>
        <v>0</v>
      </c>
      <c r="H82" s="325"/>
      <c r="I82" s="324">
        <f>G82*G10</f>
        <v>0</v>
      </c>
      <c r="J82" s="326"/>
      <c r="K82" s="324">
        <f>(K16-K81)+K60</f>
        <v>0</v>
      </c>
      <c r="L82" s="325"/>
      <c r="M82" s="327">
        <f>K82*K10</f>
        <v>0</v>
      </c>
      <c r="N82" s="194"/>
      <c r="O82" s="195"/>
      <c r="P82" s="194"/>
      <c r="Q82" s="195"/>
      <c r="R82" s="194"/>
      <c r="S82" s="196"/>
    </row>
    <row r="83" spans="1:19" ht="16.5" hidden="1" customHeight="1">
      <c r="A83" s="143"/>
      <c r="B83" s="139"/>
      <c r="C83" s="217"/>
      <c r="D83" s="218"/>
      <c r="E83" s="219"/>
      <c r="F83" s="204"/>
      <c r="G83" s="220"/>
      <c r="H83" s="221"/>
      <c r="I83" s="219"/>
      <c r="J83" s="204"/>
      <c r="K83" s="220"/>
      <c r="L83" s="221"/>
      <c r="M83" s="222"/>
      <c r="N83" s="186"/>
      <c r="O83" s="187"/>
      <c r="P83" s="188"/>
      <c r="Q83" s="187"/>
      <c r="R83" s="188"/>
      <c r="S83" s="189"/>
    </row>
    <row r="84" spans="1:19" ht="16.5" hidden="1" customHeight="1">
      <c r="A84" s="143"/>
      <c r="B84" s="139"/>
      <c r="C84" s="223"/>
      <c r="D84" s="283"/>
      <c r="E84" s="205"/>
      <c r="F84" s="204"/>
      <c r="G84" s="211"/>
      <c r="H84" s="206"/>
      <c r="I84" s="205"/>
      <c r="J84" s="204"/>
      <c r="K84" s="211"/>
      <c r="L84" s="116"/>
      <c r="M84" s="200"/>
      <c r="N84" s="185"/>
      <c r="O84" s="199"/>
      <c r="P84" s="185"/>
      <c r="Q84" s="199"/>
      <c r="R84" s="185"/>
      <c r="S84" s="169"/>
    </row>
    <row r="85" spans="1:19" ht="16.5" customHeight="1">
      <c r="A85" s="907" t="s">
        <v>237</v>
      </c>
      <c r="B85" s="908"/>
      <c r="C85" s="908"/>
      <c r="D85" s="908"/>
      <c r="E85" s="908"/>
      <c r="F85" s="908"/>
      <c r="G85" s="908"/>
      <c r="H85" s="908"/>
      <c r="I85" s="908"/>
      <c r="J85" s="908"/>
      <c r="K85" s="908"/>
      <c r="L85" s="908"/>
      <c r="M85" s="909"/>
      <c r="N85" s="185"/>
      <c r="O85" s="199"/>
      <c r="P85" s="185"/>
      <c r="Q85" s="199"/>
      <c r="R85" s="185"/>
      <c r="S85" s="169"/>
    </row>
    <row r="86" spans="1:19" ht="16.5" customHeight="1">
      <c r="A86" s="18"/>
      <c r="B86" s="2"/>
      <c r="C86" s="175"/>
      <c r="D86" s="910"/>
      <c r="E86" s="911"/>
      <c r="F86" s="2"/>
      <c r="G86" s="175"/>
      <c r="H86" s="910"/>
      <c r="I86" s="911"/>
      <c r="J86" s="2"/>
      <c r="K86" s="175"/>
      <c r="L86" s="910"/>
      <c r="M86" s="914"/>
      <c r="N86" s="185"/>
      <c r="O86" s="199"/>
      <c r="P86" s="185"/>
      <c r="Q86" s="199"/>
      <c r="R86" s="185"/>
      <c r="S86" s="169"/>
    </row>
    <row r="87" spans="1:19">
      <c r="A87" s="424" t="s">
        <v>235</v>
      </c>
      <c r="B87" s="139"/>
      <c r="C87" s="606">
        <f>IFERROR((C63-C51-C60-C70)/C16,0)</f>
        <v>0</v>
      </c>
      <c r="E87" s="558" t="s">
        <v>239</v>
      </c>
      <c r="F87" s="440"/>
      <c r="G87" s="606">
        <f>IFERROR((G63-G51-G60-G70)/G16,0)</f>
        <v>0</v>
      </c>
      <c r="I87" s="558" t="s">
        <v>239</v>
      </c>
      <c r="J87" s="440"/>
      <c r="K87" s="606">
        <f>IFERROR((K63-K51-K60-K70)/K16,0)</f>
        <v>0</v>
      </c>
      <c r="M87" s="560" t="s">
        <v>239</v>
      </c>
      <c r="N87" s="185"/>
      <c r="O87" s="199"/>
      <c r="P87" s="185"/>
      <c r="Q87" s="199"/>
      <c r="R87" s="185"/>
      <c r="S87" s="169"/>
    </row>
    <row r="88" spans="1:19">
      <c r="A88" s="912" t="s">
        <v>408</v>
      </c>
      <c r="B88" s="295"/>
      <c r="C88" s="294"/>
      <c r="E88" s="557" t="s">
        <v>238</v>
      </c>
      <c r="F88" s="441"/>
      <c r="G88" s="294"/>
      <c r="I88" s="557" t="s">
        <v>238</v>
      </c>
      <c r="J88" s="441"/>
      <c r="K88" s="294"/>
      <c r="M88" s="559" t="s">
        <v>238</v>
      </c>
      <c r="N88" s="185"/>
      <c r="O88" s="199"/>
      <c r="P88" s="185"/>
      <c r="Q88" s="199"/>
      <c r="R88" s="185"/>
      <c r="S88" s="169"/>
    </row>
    <row r="89" spans="1:19">
      <c r="A89" s="913"/>
      <c r="B89" s="295"/>
      <c r="C89" s="442"/>
      <c r="E89" s="555" t="s">
        <v>503</v>
      </c>
      <c r="F89" s="441"/>
      <c r="G89" s="442"/>
      <c r="I89" s="555" t="s">
        <v>503</v>
      </c>
      <c r="J89" s="441"/>
      <c r="K89" s="442"/>
      <c r="M89" s="556" t="s">
        <v>503</v>
      </c>
      <c r="N89" s="185"/>
      <c r="O89" s="199"/>
      <c r="P89" s="185"/>
      <c r="Q89" s="199"/>
      <c r="R89" s="185"/>
      <c r="S89" s="169"/>
    </row>
    <row r="90" spans="1:19">
      <c r="A90" s="280"/>
      <c r="B90" s="295"/>
      <c r="C90" s="442"/>
      <c r="D90" s="440"/>
      <c r="E90" s="444"/>
      <c r="F90" s="441"/>
      <c r="G90" s="442"/>
      <c r="H90" s="440"/>
      <c r="I90" s="444"/>
      <c r="J90" s="441"/>
      <c r="K90" s="442"/>
      <c r="L90" s="440"/>
      <c r="M90" s="445"/>
      <c r="N90" s="185"/>
      <c r="O90" s="199"/>
      <c r="P90" s="185"/>
      <c r="Q90" s="199"/>
      <c r="R90" s="185"/>
      <c r="S90" s="169"/>
    </row>
    <row r="91" spans="1:19">
      <c r="A91" s="424" t="s">
        <v>351</v>
      </c>
      <c r="B91" s="139"/>
      <c r="C91" s="606">
        <f>IFERROR(C60/C16,0)</f>
        <v>0</v>
      </c>
      <c r="E91" s="558" t="s">
        <v>355</v>
      </c>
      <c r="F91" s="440"/>
      <c r="G91" s="606">
        <f>IFERROR(G60/G16,0)</f>
        <v>0</v>
      </c>
      <c r="I91" s="558" t="s">
        <v>355</v>
      </c>
      <c r="J91" s="440"/>
      <c r="K91" s="606">
        <f>IFERROR(K60/K16,0)</f>
        <v>0</v>
      </c>
      <c r="M91" s="560" t="s">
        <v>355</v>
      </c>
      <c r="N91" s="185"/>
      <c r="O91" s="199"/>
      <c r="P91" s="185"/>
      <c r="Q91" s="199"/>
      <c r="R91" s="185"/>
      <c r="S91" s="169"/>
    </row>
    <row r="92" spans="1:19" ht="18.75" customHeight="1">
      <c r="A92" s="912" t="s">
        <v>409</v>
      </c>
      <c r="B92" s="295"/>
      <c r="C92" s="294"/>
      <c r="E92" s="557" t="s">
        <v>354</v>
      </c>
      <c r="F92" s="441"/>
      <c r="G92" s="294"/>
      <c r="I92" s="557" t="s">
        <v>354</v>
      </c>
      <c r="J92" s="441"/>
      <c r="K92" s="294"/>
      <c r="M92" s="559" t="s">
        <v>354</v>
      </c>
      <c r="N92" s="185"/>
      <c r="O92" s="199"/>
      <c r="P92" s="185"/>
      <c r="Q92" s="199"/>
      <c r="R92" s="185"/>
      <c r="S92" s="169"/>
    </row>
    <row r="93" spans="1:19">
      <c r="A93" s="913"/>
      <c r="B93" s="295"/>
      <c r="C93" s="442"/>
      <c r="E93" s="555" t="s">
        <v>504</v>
      </c>
      <c r="F93" s="441"/>
      <c r="G93" s="442"/>
      <c r="I93" s="555" t="s">
        <v>504</v>
      </c>
      <c r="J93" s="441"/>
      <c r="K93" s="442"/>
      <c r="M93" s="556" t="s">
        <v>504</v>
      </c>
      <c r="N93" s="185"/>
      <c r="O93" s="199"/>
      <c r="P93" s="185"/>
      <c r="Q93" s="199"/>
      <c r="R93" s="185"/>
      <c r="S93" s="169"/>
    </row>
    <row r="94" spans="1:19">
      <c r="A94" s="280"/>
      <c r="B94" s="295"/>
      <c r="C94" s="442"/>
      <c r="D94" s="440"/>
      <c r="E94" s="444"/>
      <c r="F94" s="441"/>
      <c r="G94" s="442"/>
      <c r="H94" s="440"/>
      <c r="I94" s="444"/>
      <c r="J94" s="441"/>
      <c r="K94" s="442"/>
      <c r="L94" s="440"/>
      <c r="M94" s="445"/>
      <c r="N94" s="185"/>
      <c r="O94" s="199"/>
      <c r="P94" s="185"/>
      <c r="Q94" s="199"/>
      <c r="R94" s="185"/>
      <c r="S94" s="169"/>
    </row>
    <row r="95" spans="1:19">
      <c r="A95" s="424" t="s">
        <v>352</v>
      </c>
      <c r="B95" s="139"/>
      <c r="C95" s="606">
        <f>IFERROR((C51+C70)/C16,0)</f>
        <v>0</v>
      </c>
      <c r="E95" s="558" t="s">
        <v>355</v>
      </c>
      <c r="F95" s="440"/>
      <c r="G95" s="606">
        <f>IFERROR((G51+G70)/G16,0)</f>
        <v>0</v>
      </c>
      <c r="I95" s="558" t="s">
        <v>355</v>
      </c>
      <c r="J95" s="440"/>
      <c r="K95" s="606">
        <f>IFERROR((K51+K70)/K16,0)</f>
        <v>0</v>
      </c>
      <c r="M95" s="560" t="s">
        <v>355</v>
      </c>
      <c r="N95" s="185"/>
      <c r="O95" s="199"/>
      <c r="P95" s="185"/>
      <c r="Q95" s="199"/>
      <c r="R95" s="185"/>
      <c r="S95" s="169"/>
    </row>
    <row r="96" spans="1:19">
      <c r="A96" s="912" t="s">
        <v>410</v>
      </c>
      <c r="B96" s="295"/>
      <c r="C96" s="294"/>
      <c r="E96" s="557" t="s">
        <v>354</v>
      </c>
      <c r="F96" s="441"/>
      <c r="G96" s="294"/>
      <c r="I96" s="557" t="s">
        <v>354</v>
      </c>
      <c r="J96" s="441"/>
      <c r="K96" s="294"/>
      <c r="M96" s="559" t="s">
        <v>354</v>
      </c>
      <c r="N96" s="185"/>
      <c r="O96" s="199"/>
      <c r="P96" s="185"/>
      <c r="Q96" s="199"/>
      <c r="R96" s="185"/>
      <c r="S96" s="169"/>
    </row>
    <row r="97" spans="1:19">
      <c r="A97" s="913"/>
      <c r="B97" s="295"/>
      <c r="C97" s="442"/>
      <c r="E97" s="555" t="s">
        <v>504</v>
      </c>
      <c r="F97" s="441"/>
      <c r="G97" s="442"/>
      <c r="I97" s="555" t="s">
        <v>504</v>
      </c>
      <c r="J97" s="441"/>
      <c r="K97" s="442"/>
      <c r="M97" s="556" t="s">
        <v>504</v>
      </c>
      <c r="N97" s="185"/>
      <c r="O97" s="199"/>
      <c r="P97" s="185"/>
      <c r="Q97" s="199"/>
      <c r="R97" s="185"/>
      <c r="S97" s="169"/>
    </row>
    <row r="98" spans="1:19">
      <c r="A98" s="280"/>
      <c r="B98" s="295"/>
      <c r="C98" s="442"/>
      <c r="D98" s="440"/>
      <c r="E98" s="444"/>
      <c r="F98" s="441"/>
      <c r="G98" s="442"/>
      <c r="H98" s="440"/>
      <c r="I98" s="444"/>
      <c r="J98" s="441"/>
      <c r="K98" s="442"/>
      <c r="L98" s="440"/>
      <c r="M98" s="445"/>
      <c r="N98" s="185"/>
      <c r="O98" s="199"/>
      <c r="P98" s="185"/>
      <c r="Q98" s="199"/>
      <c r="R98" s="185"/>
      <c r="S98" s="169"/>
    </row>
    <row r="99" spans="1:19">
      <c r="A99" s="424" t="s">
        <v>353</v>
      </c>
      <c r="B99" s="139"/>
      <c r="C99" s="606">
        <f>IFERROR(C64/C16,0)</f>
        <v>0</v>
      </c>
      <c r="E99" s="558" t="s">
        <v>505</v>
      </c>
      <c r="F99" s="440"/>
      <c r="G99" s="606">
        <f>IFERROR(G64/G16,0)</f>
        <v>0</v>
      </c>
      <c r="I99" s="558" t="s">
        <v>505</v>
      </c>
      <c r="J99" s="440"/>
      <c r="K99" s="606">
        <f>IFERROR(K64/K16,0)</f>
        <v>0</v>
      </c>
      <c r="M99" s="560" t="s">
        <v>505</v>
      </c>
      <c r="N99" s="185"/>
      <c r="O99" s="199"/>
      <c r="P99" s="185"/>
      <c r="Q99" s="199"/>
      <c r="R99" s="185"/>
      <c r="S99" s="169"/>
    </row>
    <row r="100" spans="1:19">
      <c r="A100" s="912" t="s">
        <v>411</v>
      </c>
      <c r="B100" s="295"/>
      <c r="C100" s="294"/>
      <c r="E100" s="557" t="s">
        <v>356</v>
      </c>
      <c r="F100" s="441"/>
      <c r="G100" s="294"/>
      <c r="I100" s="557" t="s">
        <v>356</v>
      </c>
      <c r="J100" s="441"/>
      <c r="K100" s="294"/>
      <c r="M100" s="559" t="s">
        <v>356</v>
      </c>
      <c r="N100" s="185"/>
      <c r="O100" s="199"/>
      <c r="P100" s="185"/>
      <c r="Q100" s="199"/>
      <c r="R100" s="185"/>
      <c r="S100" s="169"/>
    </row>
    <row r="101" spans="1:19">
      <c r="A101" s="913"/>
      <c r="B101" s="295"/>
      <c r="C101" s="442"/>
      <c r="E101" s="555" t="s">
        <v>357</v>
      </c>
      <c r="F101" s="441"/>
      <c r="G101" s="443"/>
      <c r="I101" s="555" t="s">
        <v>357</v>
      </c>
      <c r="J101" s="441"/>
      <c r="K101" s="443"/>
      <c r="M101" s="556" t="s">
        <v>357</v>
      </c>
      <c r="N101" s="185"/>
      <c r="O101" s="199"/>
      <c r="P101" s="185"/>
      <c r="Q101" s="199"/>
      <c r="R101" s="185"/>
      <c r="S101" s="169"/>
    </row>
    <row r="102" spans="1:19" ht="16.5" customHeight="1" thickBot="1">
      <c r="A102" s="545" t="s">
        <v>362</v>
      </c>
      <c r="B102" s="117"/>
      <c r="C102" s="86"/>
      <c r="D102" s="96"/>
      <c r="E102" s="298"/>
      <c r="F102" s="48"/>
      <c r="G102" s="87"/>
      <c r="H102" s="96"/>
      <c r="I102" s="298"/>
      <c r="J102" s="48"/>
      <c r="K102" s="87"/>
      <c r="L102" s="96"/>
      <c r="M102" s="94"/>
      <c r="N102" s="185"/>
      <c r="O102" s="199"/>
      <c r="P102" s="185"/>
      <c r="Q102" s="199"/>
      <c r="R102" s="185"/>
      <c r="S102" s="169"/>
    </row>
    <row r="103" spans="1:19" ht="16.5" customHeight="1">
      <c r="A103" s="907" t="s">
        <v>289</v>
      </c>
      <c r="B103" s="908"/>
      <c r="C103" s="908"/>
      <c r="D103" s="908"/>
      <c r="E103" s="908"/>
      <c r="F103" s="908"/>
      <c r="G103" s="908"/>
      <c r="H103" s="908"/>
      <c r="I103" s="908"/>
      <c r="J103" s="908"/>
      <c r="K103" s="908"/>
      <c r="L103" s="908"/>
      <c r="M103" s="909"/>
      <c r="N103" s="185"/>
      <c r="O103" s="199"/>
      <c r="P103" s="185"/>
      <c r="Q103" s="199"/>
      <c r="R103" s="185"/>
      <c r="S103" s="169"/>
    </row>
    <row r="104" spans="1:19" ht="16.5" customHeight="1">
      <c r="A104" s="280"/>
      <c r="B104" s="117"/>
      <c r="C104" s="86"/>
      <c r="D104" s="96"/>
      <c r="E104" s="298"/>
      <c r="F104" s="48"/>
      <c r="G104" s="87"/>
      <c r="H104" s="96"/>
      <c r="I104" s="298"/>
      <c r="J104" s="48"/>
      <c r="K104" s="87"/>
      <c r="L104" s="96"/>
      <c r="M104" s="94"/>
      <c r="N104" s="185"/>
      <c r="O104" s="199"/>
      <c r="P104" s="185"/>
      <c r="Q104" s="199"/>
      <c r="R104" s="185"/>
      <c r="S104" s="169"/>
    </row>
    <row r="105" spans="1:19">
      <c r="A105" s="424" t="s">
        <v>478</v>
      </c>
      <c r="B105" s="139"/>
      <c r="C105" s="442"/>
      <c r="D105" s="440"/>
      <c r="E105" s="444"/>
      <c r="F105" s="441"/>
      <c r="G105" s="443"/>
      <c r="H105" s="440"/>
      <c r="I105" s="444"/>
      <c r="J105" s="441"/>
      <c r="K105" s="443"/>
      <c r="L105" s="440"/>
      <c r="M105" s="445"/>
      <c r="N105" s="185"/>
      <c r="O105" s="199"/>
      <c r="P105" s="185"/>
      <c r="Q105" s="199"/>
      <c r="R105" s="185"/>
      <c r="S105" s="169"/>
    </row>
    <row r="106" spans="1:19">
      <c r="A106" s="446" t="s">
        <v>651</v>
      </c>
      <c r="B106" s="154"/>
      <c r="C106" s="447">
        <f>IFERROR((C63)/C9,0)</f>
        <v>0</v>
      </c>
      <c r="D106" s="448" t="s">
        <v>652</v>
      </c>
      <c r="E106" s="449"/>
      <c r="F106" s="450"/>
      <c r="G106" s="447">
        <f>IFERROR((G63)/G9,0)</f>
        <v>0</v>
      </c>
      <c r="H106" s="448" t="s">
        <v>652</v>
      </c>
      <c r="I106" s="449"/>
      <c r="J106" s="450"/>
      <c r="K106" s="447">
        <f>IFERROR((K63)/K9,0)</f>
        <v>0</v>
      </c>
      <c r="L106" s="448" t="s">
        <v>652</v>
      </c>
      <c r="M106" s="451"/>
      <c r="N106" s="185"/>
      <c r="O106" s="199"/>
      <c r="P106" s="185"/>
      <c r="Q106" s="199"/>
      <c r="R106" s="185"/>
      <c r="S106" s="169"/>
    </row>
    <row r="107" spans="1:19">
      <c r="A107" s="446" t="s">
        <v>287</v>
      </c>
      <c r="B107" s="154"/>
      <c r="C107" s="452">
        <f>IFERROR((C63)/C8,0)</f>
        <v>0</v>
      </c>
      <c r="D107" s="453" t="str">
        <f>D9</f>
        <v>Unit</v>
      </c>
      <c r="E107" s="454"/>
      <c r="F107" s="455"/>
      <c r="G107" s="452">
        <f>IFERROR((G63)/G8,0)</f>
        <v>0</v>
      </c>
      <c r="H107" s="453" t="str">
        <f>H9</f>
        <v>Unit</v>
      </c>
      <c r="I107" s="454"/>
      <c r="J107" s="455"/>
      <c r="K107" s="452">
        <f>IFERROR((K63)/K8,0)</f>
        <v>0</v>
      </c>
      <c r="L107" s="453" t="str">
        <f>L9</f>
        <v>Unit</v>
      </c>
      <c r="M107" s="456"/>
      <c r="N107" s="185"/>
      <c r="O107" s="199"/>
      <c r="P107" s="185"/>
      <c r="Q107" s="199"/>
      <c r="R107" s="185"/>
      <c r="S107" s="169"/>
    </row>
    <row r="108" spans="1:19">
      <c r="A108" s="457"/>
      <c r="B108" s="154"/>
      <c r="C108" s="458"/>
      <c r="D108" s="455"/>
      <c r="E108" s="454"/>
      <c r="F108" s="455"/>
      <c r="G108" s="458"/>
      <c r="H108" s="455"/>
      <c r="I108" s="454"/>
      <c r="J108" s="455"/>
      <c r="K108" s="458"/>
      <c r="L108" s="455"/>
      <c r="M108" s="456"/>
      <c r="N108" s="185"/>
      <c r="O108" s="199"/>
      <c r="P108" s="185"/>
      <c r="Q108" s="199"/>
      <c r="R108" s="185"/>
      <c r="S108" s="169"/>
    </row>
    <row r="109" spans="1:19">
      <c r="A109" s="424" t="s">
        <v>479</v>
      </c>
      <c r="B109" s="459"/>
      <c r="C109" s="460"/>
      <c r="D109" s="461"/>
      <c r="E109" s="462"/>
      <c r="F109" s="461"/>
      <c r="G109" s="460"/>
      <c r="H109" s="461"/>
      <c r="I109" s="462"/>
      <c r="J109" s="461"/>
      <c r="K109" s="460"/>
      <c r="L109" s="461"/>
      <c r="M109" s="463"/>
      <c r="N109" s="185"/>
      <c r="O109" s="199"/>
      <c r="P109" s="185"/>
      <c r="Q109" s="199"/>
      <c r="R109" s="185"/>
      <c r="S109" s="169"/>
    </row>
    <row r="110" spans="1:19">
      <c r="A110" s="446" t="s">
        <v>651</v>
      </c>
      <c r="B110" s="154"/>
      <c r="C110" s="447">
        <f>IFERROR((C73-C60)/C9,0)</f>
        <v>0</v>
      </c>
      <c r="D110" s="448" t="s">
        <v>652</v>
      </c>
      <c r="E110" s="454"/>
      <c r="F110" s="455"/>
      <c r="G110" s="447">
        <f>IFERROR((G73-G60)/G9,0)</f>
        <v>0</v>
      </c>
      <c r="H110" s="448" t="s">
        <v>652</v>
      </c>
      <c r="I110" s="454"/>
      <c r="J110" s="455"/>
      <c r="K110" s="447">
        <f>IFERROR((K73-K60)/K9,0)</f>
        <v>0</v>
      </c>
      <c r="L110" s="448" t="s">
        <v>652</v>
      </c>
      <c r="M110" s="456"/>
      <c r="N110" s="185"/>
      <c r="O110" s="199"/>
      <c r="P110" s="185"/>
      <c r="Q110" s="199"/>
      <c r="R110" s="185"/>
      <c r="S110" s="169"/>
    </row>
    <row r="111" spans="1:19">
      <c r="A111" s="446" t="s">
        <v>287</v>
      </c>
      <c r="B111" s="154"/>
      <c r="C111" s="452">
        <f>IFERROR((C73-C60)/C8,0)</f>
        <v>0</v>
      </c>
      <c r="D111" s="453" t="str">
        <f>D9</f>
        <v>Unit</v>
      </c>
      <c r="E111" s="454"/>
      <c r="F111" s="455"/>
      <c r="G111" s="452">
        <f>IFERROR((G73-G60)/G8,0)</f>
        <v>0</v>
      </c>
      <c r="H111" s="453" t="str">
        <f>H9</f>
        <v>Unit</v>
      </c>
      <c r="I111" s="454"/>
      <c r="J111" s="455"/>
      <c r="K111" s="452">
        <f>IFERROR((K73-K60)/K8,0)</f>
        <v>0</v>
      </c>
      <c r="L111" s="453" t="str">
        <f>L9</f>
        <v>Unit</v>
      </c>
      <c r="M111" s="456"/>
      <c r="N111" s="185"/>
      <c r="O111" s="199"/>
      <c r="P111" s="185"/>
      <c r="Q111" s="199"/>
      <c r="R111" s="185"/>
      <c r="S111" s="169"/>
    </row>
    <row r="112" spans="1:19">
      <c r="A112" s="457"/>
      <c r="B112" s="154"/>
      <c r="C112" s="458"/>
      <c r="D112" s="455"/>
      <c r="E112" s="454"/>
      <c r="F112" s="455"/>
      <c r="G112" s="458"/>
      <c r="H112" s="455"/>
      <c r="I112" s="454"/>
      <c r="J112" s="455"/>
      <c r="K112" s="458"/>
      <c r="L112" s="455"/>
      <c r="M112" s="456"/>
      <c r="N112" s="185"/>
      <c r="O112" s="199"/>
      <c r="P112" s="185"/>
      <c r="Q112" s="199"/>
      <c r="R112" s="185"/>
      <c r="S112" s="169"/>
    </row>
    <row r="113" spans="1:30">
      <c r="A113" s="424" t="s">
        <v>480</v>
      </c>
      <c r="B113" s="459"/>
      <c r="C113" s="460"/>
      <c r="D113" s="461"/>
      <c r="E113" s="462"/>
      <c r="F113" s="461"/>
      <c r="G113" s="460"/>
      <c r="H113" s="461"/>
      <c r="I113" s="462"/>
      <c r="J113" s="461"/>
      <c r="K113" s="460"/>
      <c r="L113" s="461"/>
      <c r="M113" s="463"/>
      <c r="N113" s="185"/>
      <c r="O113" s="199"/>
      <c r="P113" s="185"/>
      <c r="Q113" s="199"/>
      <c r="R113" s="185"/>
      <c r="S113" s="169"/>
    </row>
    <row r="114" spans="1:30">
      <c r="A114" s="446" t="s">
        <v>651</v>
      </c>
      <c r="B114" s="154"/>
      <c r="C114" s="447">
        <f>IFERROR(C73/C9,0)</f>
        <v>0</v>
      </c>
      <c r="D114" s="448" t="s">
        <v>652</v>
      </c>
      <c r="E114" s="454"/>
      <c r="F114" s="455"/>
      <c r="G114" s="447">
        <f>IFERROR(G73/G9,0)</f>
        <v>0</v>
      </c>
      <c r="H114" s="448" t="s">
        <v>652</v>
      </c>
      <c r="I114" s="454"/>
      <c r="J114" s="455"/>
      <c r="K114" s="447">
        <f>IFERROR(K73/K9,0)</f>
        <v>0</v>
      </c>
      <c r="L114" s="448" t="s">
        <v>652</v>
      </c>
      <c r="M114" s="456"/>
      <c r="N114" s="185"/>
      <c r="O114" s="199"/>
      <c r="P114" s="185"/>
      <c r="Q114" s="199"/>
      <c r="R114" s="185"/>
      <c r="S114" s="169"/>
    </row>
    <row r="115" spans="1:30">
      <c r="A115" s="446" t="s">
        <v>287</v>
      </c>
      <c r="B115" s="154"/>
      <c r="C115" s="452">
        <f>IFERROR(C73/C8,0)</f>
        <v>0</v>
      </c>
      <c r="D115" s="453" t="str">
        <f>D9</f>
        <v>Unit</v>
      </c>
      <c r="E115" s="454"/>
      <c r="F115" s="455"/>
      <c r="G115" s="452">
        <f>IFERROR(G73/G8,0)</f>
        <v>0</v>
      </c>
      <c r="H115" s="453" t="str">
        <f>H9</f>
        <v>Unit</v>
      </c>
      <c r="I115" s="454"/>
      <c r="J115" s="455"/>
      <c r="K115" s="452">
        <f>IFERROR(K73/K8,0)</f>
        <v>0</v>
      </c>
      <c r="L115" s="453" t="str">
        <f>L9</f>
        <v>Unit</v>
      </c>
      <c r="M115" s="456"/>
      <c r="N115" s="185"/>
      <c r="O115" s="199"/>
      <c r="P115" s="185"/>
      <c r="Q115" s="199"/>
      <c r="R115" s="185"/>
      <c r="S115" s="169"/>
    </row>
    <row r="116" spans="1:30" ht="7.35" hidden="1" customHeight="1">
      <c r="A116" s="18"/>
      <c r="B116" s="2"/>
      <c r="C116" s="90"/>
      <c r="D116" s="53"/>
      <c r="E116" s="88"/>
      <c r="F116" s="53"/>
      <c r="G116" s="90"/>
      <c r="H116" s="53"/>
      <c r="I116" s="88"/>
      <c r="J116" s="53"/>
      <c r="K116" s="90"/>
      <c r="L116" s="53"/>
      <c r="M116" s="89"/>
      <c r="N116" s="185"/>
      <c r="O116" s="199"/>
      <c r="P116" s="185"/>
      <c r="Q116" s="199"/>
      <c r="R116" s="185"/>
      <c r="S116" s="169"/>
    </row>
    <row r="117" spans="1:30" ht="16.5" hidden="1" customHeight="1" thickBot="1">
      <c r="A117" s="278" t="s">
        <v>325</v>
      </c>
      <c r="B117" s="309"/>
      <c r="C117" s="310"/>
      <c r="D117" s="311"/>
      <c r="E117" s="312"/>
      <c r="F117" s="311"/>
      <c r="G117" s="310"/>
      <c r="H117" s="311"/>
      <c r="I117" s="312"/>
      <c r="J117" s="311"/>
      <c r="K117" s="310"/>
      <c r="L117" s="311"/>
      <c r="M117" s="313"/>
      <c r="N117" s="185"/>
      <c r="O117" s="199"/>
      <c r="P117" s="185"/>
      <c r="Q117" s="199"/>
      <c r="R117" s="185"/>
      <c r="S117" s="169"/>
    </row>
    <row r="118" spans="1:30" ht="16.5" hidden="1" customHeight="1" thickBot="1">
      <c r="A118" s="279" t="s">
        <v>286</v>
      </c>
      <c r="B118" s="2"/>
      <c r="C118" s="337" t="e">
        <f>C81/C9</f>
        <v>#DIV/0!</v>
      </c>
      <c r="D118" s="335" t="s">
        <v>361</v>
      </c>
      <c r="E118" s="88"/>
      <c r="F118" s="53"/>
      <c r="G118" s="337" t="e">
        <f>G81/G9</f>
        <v>#DIV/0!</v>
      </c>
      <c r="H118" s="335" t="s">
        <v>361</v>
      </c>
      <c r="I118" s="88"/>
      <c r="J118" s="53"/>
      <c r="K118" s="337" t="e">
        <f>K81/K9</f>
        <v>#DIV/0!</v>
      </c>
      <c r="L118" s="335" t="s">
        <v>361</v>
      </c>
      <c r="M118" s="89"/>
      <c r="N118" s="185"/>
      <c r="O118" s="199"/>
      <c r="P118" s="185"/>
      <c r="Q118" s="199"/>
      <c r="R118" s="185"/>
      <c r="S118" s="169"/>
    </row>
    <row r="119" spans="1:30" ht="16.5" hidden="1" customHeight="1" thickBot="1">
      <c r="A119" s="279" t="s">
        <v>287</v>
      </c>
      <c r="B119" s="2"/>
      <c r="C119" s="338" t="e">
        <f>C81/C8</f>
        <v>#DIV/0!</v>
      </c>
      <c r="D119" s="336" t="s">
        <v>112</v>
      </c>
      <c r="E119" s="88"/>
      <c r="F119" s="53"/>
      <c r="G119" s="338" t="e">
        <f>G81/G8</f>
        <v>#DIV/0!</v>
      </c>
      <c r="H119" s="336" t="s">
        <v>112</v>
      </c>
      <c r="I119" s="88"/>
      <c r="J119" s="53"/>
      <c r="K119" s="338" t="e">
        <f>K81/K8</f>
        <v>#DIV/0!</v>
      </c>
      <c r="L119" s="336" t="s">
        <v>112</v>
      </c>
      <c r="M119" s="89"/>
      <c r="N119" s="185"/>
      <c r="O119" s="199"/>
      <c r="P119" s="185"/>
      <c r="Q119" s="199"/>
      <c r="R119" s="185"/>
      <c r="S119" s="169"/>
    </row>
    <row r="120" spans="1:30" ht="16.5" customHeight="1" thickBot="1">
      <c r="A120" s="18"/>
      <c r="B120" s="2"/>
      <c r="C120" s="175"/>
      <c r="D120" s="2"/>
      <c r="E120" s="180"/>
      <c r="F120" s="2"/>
      <c r="G120" s="175"/>
      <c r="H120" s="2"/>
      <c r="I120" s="180"/>
      <c r="J120" s="2"/>
      <c r="K120" s="175"/>
      <c r="L120" s="2"/>
      <c r="M120" s="49"/>
      <c r="N120" s="185"/>
      <c r="O120" s="199"/>
      <c r="P120" s="185"/>
      <c r="Q120" s="199"/>
      <c r="R120" s="185"/>
      <c r="S120" s="169"/>
    </row>
    <row r="121" spans="1:30" ht="16.5" customHeight="1" thickBot="1">
      <c r="A121" s="907" t="s">
        <v>290</v>
      </c>
      <c r="B121" s="908"/>
      <c r="C121" s="908"/>
      <c r="D121" s="908"/>
      <c r="E121" s="908"/>
      <c r="F121" s="908"/>
      <c r="G121" s="908"/>
      <c r="H121" s="908"/>
      <c r="I121" s="908"/>
      <c r="J121" s="908"/>
      <c r="K121" s="908"/>
      <c r="L121" s="908"/>
      <c r="M121" s="909"/>
      <c r="N121" s="185"/>
      <c r="O121" s="199"/>
      <c r="P121" s="185"/>
      <c r="Q121" s="199"/>
      <c r="R121" s="185"/>
      <c r="S121" s="169"/>
    </row>
    <row r="122" spans="1:30" ht="16.5" customHeight="1">
      <c r="A122" s="829"/>
      <c r="B122" s="830"/>
      <c r="C122" s="831"/>
      <c r="D122" s="814"/>
      <c r="E122" s="832"/>
      <c r="F122" s="814"/>
      <c r="G122" s="831"/>
      <c r="H122" s="814"/>
      <c r="I122" s="832"/>
      <c r="J122" s="814"/>
      <c r="K122" s="831"/>
      <c r="L122" s="814"/>
      <c r="M122" s="815"/>
      <c r="N122" s="185"/>
      <c r="O122" s="199"/>
      <c r="P122" s="185"/>
      <c r="Q122" s="199"/>
      <c r="R122" s="185"/>
      <c r="S122" s="169"/>
    </row>
    <row r="123" spans="1:30">
      <c r="A123" s="709" t="s">
        <v>595</v>
      </c>
      <c r="B123" s="833"/>
      <c r="C123" s="696" t="s">
        <v>96</v>
      </c>
      <c r="D123" s="696" t="s">
        <v>97</v>
      </c>
      <c r="E123" s="696" t="s">
        <v>98</v>
      </c>
      <c r="F123" s="11"/>
      <c r="G123" s="696" t="s">
        <v>96</v>
      </c>
      <c r="H123" s="696" t="s">
        <v>97</v>
      </c>
      <c r="I123" s="696" t="s">
        <v>98</v>
      </c>
      <c r="J123" s="11"/>
      <c r="K123" s="696" t="s">
        <v>96</v>
      </c>
      <c r="L123" s="696" t="s">
        <v>97</v>
      </c>
      <c r="M123" s="697" t="s">
        <v>98</v>
      </c>
      <c r="N123" s="185"/>
      <c r="O123" s="199"/>
      <c r="P123" s="185"/>
      <c r="Q123" s="199"/>
      <c r="R123" s="185"/>
      <c r="S123" s="169"/>
    </row>
    <row r="124" spans="1:30" ht="18" customHeight="1">
      <c r="A124" s="915" t="s">
        <v>587</v>
      </c>
      <c r="C124" s="466">
        <f>'Nutrient Management'!B57</f>
        <v>0</v>
      </c>
      <c r="D124" s="466">
        <f>'Nutrient Management'!C57</f>
        <v>0</v>
      </c>
      <c r="E124" s="466">
        <f>'Nutrient Management'!D57</f>
        <v>0</v>
      </c>
      <c r="F124" s="466"/>
      <c r="G124" s="466">
        <f>'Nutrient Management'!F57</f>
        <v>0</v>
      </c>
      <c r="H124" s="466">
        <f>'Nutrient Management'!G57</f>
        <v>0</v>
      </c>
      <c r="I124" s="466">
        <f>'Nutrient Management'!H57</f>
        <v>0</v>
      </c>
      <c r="J124" s="466"/>
      <c r="K124" s="466">
        <f>'Nutrient Management'!J57</f>
        <v>0</v>
      </c>
      <c r="L124" s="466">
        <f>'Nutrient Management'!K57</f>
        <v>0</v>
      </c>
      <c r="M124" s="834">
        <f>'Nutrient Management'!L57</f>
        <v>0</v>
      </c>
      <c r="P124" s="176"/>
      <c r="Q124" s="202"/>
      <c r="S124" s="203"/>
    </row>
    <row r="125" spans="1:30">
      <c r="A125" s="915"/>
      <c r="C125" s="696" t="s">
        <v>99</v>
      </c>
      <c r="D125" s="696" t="s">
        <v>100</v>
      </c>
      <c r="E125" s="696" t="s">
        <v>170</v>
      </c>
      <c r="F125" s="11"/>
      <c r="G125" s="696" t="s">
        <v>99</v>
      </c>
      <c r="H125" s="696" t="s">
        <v>100</v>
      </c>
      <c r="I125" s="696" t="s">
        <v>170</v>
      </c>
      <c r="J125" s="11"/>
      <c r="K125" s="696" t="s">
        <v>99</v>
      </c>
      <c r="L125" s="696" t="s">
        <v>100</v>
      </c>
      <c r="M125" s="697" t="s">
        <v>170</v>
      </c>
      <c r="P125" s="176"/>
      <c r="Q125" s="202"/>
      <c r="S125" s="203"/>
    </row>
    <row r="126" spans="1:30">
      <c r="A126" s="693"/>
      <c r="C126" s="466">
        <f>'Nutrient Management'!B60</f>
        <v>0</v>
      </c>
      <c r="D126" s="466">
        <f>'Nutrient Management'!C60</f>
        <v>0</v>
      </c>
      <c r="E126" s="466">
        <f>'Nutrient Management'!D60</f>
        <v>0</v>
      </c>
      <c r="F126" s="466"/>
      <c r="G126" s="466">
        <f>'Nutrient Management'!F60</f>
        <v>0</v>
      </c>
      <c r="H126" s="466">
        <f>'Nutrient Management'!G60</f>
        <v>0</v>
      </c>
      <c r="I126" s="466">
        <f>'Nutrient Management'!H60</f>
        <v>0</v>
      </c>
      <c r="J126" s="466"/>
      <c r="K126" s="466">
        <f>'Nutrient Management'!J60</f>
        <v>0</v>
      </c>
      <c r="L126" s="466">
        <f>'Nutrient Management'!K60</f>
        <v>0</v>
      </c>
      <c r="M126" s="834">
        <f>'Nutrient Management'!L60</f>
        <v>0</v>
      </c>
      <c r="P126" s="176"/>
      <c r="Q126" s="202"/>
      <c r="S126" s="203"/>
    </row>
    <row r="127" spans="1:30">
      <c r="A127" s="350"/>
      <c r="C127" s="696" t="s">
        <v>102</v>
      </c>
      <c r="D127" s="696" t="s">
        <v>103</v>
      </c>
      <c r="E127" s="696" t="s">
        <v>104</v>
      </c>
      <c r="F127" s="11"/>
      <c r="G127" s="696" t="s">
        <v>102</v>
      </c>
      <c r="H127" s="696" t="s">
        <v>103</v>
      </c>
      <c r="I127" s="696" t="s">
        <v>104</v>
      </c>
      <c r="J127" s="11"/>
      <c r="K127" s="696" t="s">
        <v>102</v>
      </c>
      <c r="L127" s="696" t="s">
        <v>103</v>
      </c>
      <c r="M127" s="697" t="s">
        <v>104</v>
      </c>
      <c r="P127" s="176"/>
      <c r="Q127" s="202"/>
      <c r="S127" s="203"/>
      <c r="X127" s="257"/>
      <c r="Y127" s="51"/>
      <c r="Z127" s="51"/>
      <c r="AA127" s="51"/>
      <c r="AB127" s="51"/>
      <c r="AC127" s="51"/>
      <c r="AD127" s="51"/>
    </row>
    <row r="128" spans="1:30">
      <c r="A128" s="350"/>
      <c r="C128" s="466">
        <f>'Nutrient Management'!B62</f>
        <v>0</v>
      </c>
      <c r="D128" s="466">
        <f>'Nutrient Management'!C62</f>
        <v>0</v>
      </c>
      <c r="E128" s="466">
        <f>'Nutrient Management'!D62</f>
        <v>0</v>
      </c>
      <c r="F128" s="467"/>
      <c r="G128" s="466">
        <f>'Nutrient Management'!F62</f>
        <v>0</v>
      </c>
      <c r="H128" s="466">
        <f>'Nutrient Management'!G62</f>
        <v>0</v>
      </c>
      <c r="I128" s="466">
        <f>'Nutrient Management'!H62</f>
        <v>0</v>
      </c>
      <c r="J128" s="467"/>
      <c r="K128" s="466">
        <f>'Nutrient Management'!J62</f>
        <v>0</v>
      </c>
      <c r="L128" s="466">
        <f>'Nutrient Management'!K62</f>
        <v>0</v>
      </c>
      <c r="M128" s="834">
        <f>'Nutrient Management'!L62</f>
        <v>0</v>
      </c>
      <c r="P128" s="176"/>
      <c r="Q128" s="202"/>
      <c r="S128" s="203"/>
      <c r="X128" s="6"/>
      <c r="Y128" s="51"/>
      <c r="Z128" s="51"/>
      <c r="AA128" s="51"/>
      <c r="AB128" s="51"/>
      <c r="AC128" s="51"/>
      <c r="AD128" s="51"/>
    </row>
    <row r="129" spans="1:30">
      <c r="A129" s="350"/>
      <c r="C129" s="694"/>
      <c r="D129" s="835"/>
      <c r="E129" s="695"/>
      <c r="F129" s="836"/>
      <c r="G129" s="694"/>
      <c r="H129" s="835"/>
      <c r="I129" s="695"/>
      <c r="J129" s="836"/>
      <c r="K129" s="694"/>
      <c r="L129" s="835"/>
      <c r="M129" s="837"/>
      <c r="P129" s="176"/>
      <c r="Q129" s="202"/>
      <c r="S129" s="203"/>
      <c r="X129" s="6"/>
      <c r="Y129" s="51"/>
      <c r="Z129" s="51"/>
      <c r="AA129" s="51"/>
      <c r="AB129" s="51"/>
      <c r="AC129" s="51"/>
      <c r="AD129" s="51"/>
    </row>
    <row r="130" spans="1:30" hidden="1">
      <c r="A130" s="709" t="s">
        <v>596</v>
      </c>
      <c r="B130" s="833"/>
      <c r="C130" s="464" t="s">
        <v>96</v>
      </c>
      <c r="D130" s="464" t="s">
        <v>97</v>
      </c>
      <c r="E130" s="464" t="s">
        <v>98</v>
      </c>
      <c r="F130" s="11"/>
      <c r="G130" s="464" t="s">
        <v>96</v>
      </c>
      <c r="H130" s="464" t="s">
        <v>97</v>
      </c>
      <c r="I130" s="464" t="s">
        <v>98</v>
      </c>
      <c r="J130" s="11"/>
      <c r="K130" s="464" t="s">
        <v>96</v>
      </c>
      <c r="L130" s="464" t="s">
        <v>97</v>
      </c>
      <c r="M130" s="465" t="s">
        <v>98</v>
      </c>
      <c r="P130" s="176"/>
      <c r="Q130" s="202"/>
      <c r="S130" s="203"/>
      <c r="X130" s="6"/>
      <c r="Y130" s="51"/>
      <c r="Z130" s="51"/>
      <c r="AA130" s="51"/>
      <c r="AB130" s="51"/>
      <c r="AC130" s="51"/>
      <c r="AD130" s="51"/>
    </row>
    <row r="131" spans="1:30" ht="18" hidden="1" customHeight="1">
      <c r="A131" s="915" t="s">
        <v>594</v>
      </c>
      <c r="C131" s="466">
        <f>'Nutrient Management'!B69</f>
        <v>0</v>
      </c>
      <c r="D131" s="466">
        <f>'Nutrient Management'!C69</f>
        <v>0</v>
      </c>
      <c r="E131" s="466">
        <f>'Nutrient Management'!D69</f>
        <v>0</v>
      </c>
      <c r="F131" s="466"/>
      <c r="G131" s="466">
        <f>'Nutrient Management'!F69</f>
        <v>0</v>
      </c>
      <c r="H131" s="466">
        <f>'Nutrient Management'!G69</f>
        <v>0</v>
      </c>
      <c r="I131" s="466">
        <f>'Nutrient Management'!H69</f>
        <v>0</v>
      </c>
      <c r="J131" s="466"/>
      <c r="K131" s="466">
        <f>'Nutrient Management'!J69</f>
        <v>0</v>
      </c>
      <c r="L131" s="466">
        <f>'Nutrient Management'!K69</f>
        <v>0</v>
      </c>
      <c r="M131" s="834">
        <f>'Nutrient Management'!L69</f>
        <v>0</v>
      </c>
      <c r="P131" s="176"/>
      <c r="Q131" s="202"/>
      <c r="S131" s="203"/>
      <c r="X131" s="6"/>
      <c r="Y131" s="51"/>
      <c r="Z131" s="51"/>
      <c r="AA131" s="51"/>
      <c r="AB131" s="51"/>
      <c r="AC131" s="51"/>
      <c r="AD131" s="51"/>
    </row>
    <row r="132" spans="1:30" hidden="1">
      <c r="A132" s="915"/>
      <c r="C132" s="464" t="s">
        <v>99</v>
      </c>
      <c r="D132" s="464" t="s">
        <v>100</v>
      </c>
      <c r="E132" s="464" t="s">
        <v>170</v>
      </c>
      <c r="F132" s="11"/>
      <c r="G132" s="464" t="s">
        <v>99</v>
      </c>
      <c r="H132" s="464" t="s">
        <v>100</v>
      </c>
      <c r="I132" s="464" t="s">
        <v>170</v>
      </c>
      <c r="J132" s="11"/>
      <c r="K132" s="464" t="s">
        <v>99</v>
      </c>
      <c r="L132" s="464" t="s">
        <v>100</v>
      </c>
      <c r="M132" s="465" t="s">
        <v>170</v>
      </c>
      <c r="P132" s="176"/>
      <c r="Q132" s="202"/>
      <c r="S132" s="203"/>
      <c r="X132" s="6"/>
      <c r="Y132" s="51"/>
      <c r="Z132" s="51"/>
      <c r="AA132" s="51"/>
      <c r="AB132" s="51"/>
      <c r="AC132" s="51"/>
      <c r="AD132" s="51"/>
    </row>
    <row r="133" spans="1:30" hidden="1">
      <c r="A133" s="693"/>
      <c r="C133" s="466">
        <f>'Nutrient Management'!B72</f>
        <v>0</v>
      </c>
      <c r="D133" s="466">
        <f>'Nutrient Management'!C72</f>
        <v>0</v>
      </c>
      <c r="E133" s="466">
        <f>'Nutrient Management'!D72</f>
        <v>0</v>
      </c>
      <c r="F133" s="466"/>
      <c r="G133" s="466">
        <f>'Nutrient Management'!F72</f>
        <v>0</v>
      </c>
      <c r="H133" s="466">
        <f>'Nutrient Management'!G72</f>
        <v>0</v>
      </c>
      <c r="I133" s="466">
        <f>'Nutrient Management'!H72</f>
        <v>0</v>
      </c>
      <c r="J133" s="466"/>
      <c r="K133" s="466">
        <f>'Nutrient Management'!J72</f>
        <v>0</v>
      </c>
      <c r="L133" s="466">
        <f>'Nutrient Management'!K72</f>
        <v>0</v>
      </c>
      <c r="M133" s="834">
        <f>'Nutrient Management'!L72</f>
        <v>0</v>
      </c>
      <c r="P133" s="176"/>
      <c r="Q133" s="202"/>
      <c r="S133" s="203"/>
      <c r="X133" s="6"/>
      <c r="Y133" s="51"/>
      <c r="Z133" s="51"/>
      <c r="AA133" s="51"/>
      <c r="AB133" s="51"/>
      <c r="AC133" s="51"/>
      <c r="AD133" s="51"/>
    </row>
    <row r="134" spans="1:30" hidden="1">
      <c r="A134" s="350"/>
      <c r="C134" s="464" t="s">
        <v>102</v>
      </c>
      <c r="D134" s="464" t="s">
        <v>103</v>
      </c>
      <c r="E134" s="464" t="s">
        <v>104</v>
      </c>
      <c r="F134" s="11"/>
      <c r="G134" s="464" t="s">
        <v>102</v>
      </c>
      <c r="H134" s="464" t="s">
        <v>103</v>
      </c>
      <c r="I134" s="464" t="s">
        <v>104</v>
      </c>
      <c r="J134" s="11"/>
      <c r="K134" s="464" t="s">
        <v>102</v>
      </c>
      <c r="L134" s="464" t="s">
        <v>103</v>
      </c>
      <c r="M134" s="465" t="s">
        <v>104</v>
      </c>
      <c r="P134" s="176"/>
      <c r="Q134" s="202"/>
      <c r="S134" s="203"/>
      <c r="X134" s="6"/>
      <c r="Y134" s="51"/>
      <c r="Z134" s="51"/>
      <c r="AA134" s="51"/>
      <c r="AB134" s="51"/>
      <c r="AC134" s="51"/>
      <c r="AD134" s="51"/>
    </row>
    <row r="135" spans="1:30" hidden="1">
      <c r="A135" s="350"/>
      <c r="C135" s="466">
        <f>'Nutrient Management'!B74</f>
        <v>0</v>
      </c>
      <c r="D135" s="466">
        <f>'Nutrient Management'!C74</f>
        <v>0</v>
      </c>
      <c r="E135" s="466">
        <f>'Nutrient Management'!D74</f>
        <v>0</v>
      </c>
      <c r="F135" s="466"/>
      <c r="G135" s="466">
        <f>'Nutrient Management'!F74</f>
        <v>0</v>
      </c>
      <c r="H135" s="466">
        <f>'Nutrient Management'!G74</f>
        <v>0</v>
      </c>
      <c r="I135" s="466">
        <f>'Nutrient Management'!H74</f>
        <v>0</v>
      </c>
      <c r="J135" s="466"/>
      <c r="K135" s="466">
        <f>'Nutrient Management'!J74</f>
        <v>0</v>
      </c>
      <c r="L135" s="466">
        <f>'Nutrient Management'!K74</f>
        <v>0</v>
      </c>
      <c r="M135" s="834">
        <f>'Nutrient Management'!L74</f>
        <v>0</v>
      </c>
      <c r="P135" s="176"/>
      <c r="Q135" s="202"/>
      <c r="S135" s="203"/>
      <c r="X135" s="6"/>
      <c r="Y135" s="51"/>
      <c r="Z135" s="51"/>
      <c r="AA135" s="51"/>
      <c r="AB135" s="51"/>
      <c r="AC135" s="51"/>
      <c r="AD135" s="51"/>
    </row>
    <row r="136" spans="1:30" hidden="1">
      <c r="A136" s="457"/>
      <c r="B136" s="154"/>
      <c r="C136" s="155"/>
      <c r="D136" s="154"/>
      <c r="E136" s="156"/>
      <c r="F136" s="154"/>
      <c r="G136" s="155"/>
      <c r="H136" s="154"/>
      <c r="I136" s="156"/>
      <c r="J136" s="154"/>
      <c r="K136" s="155"/>
      <c r="L136" s="154"/>
      <c r="M136" s="157"/>
      <c r="P136" s="176"/>
      <c r="Q136" s="202"/>
      <c r="R136" s="13"/>
      <c r="S136" s="170"/>
    </row>
    <row r="137" spans="1:30">
      <c r="A137" s="468" t="s">
        <v>246</v>
      </c>
      <c r="B137" s="177"/>
      <c r="C137" s="469" t="s">
        <v>96</v>
      </c>
      <c r="D137" s="469" t="s">
        <v>97</v>
      </c>
      <c r="E137" s="469" t="s">
        <v>98</v>
      </c>
      <c r="F137" s="295"/>
      <c r="G137" s="469" t="s">
        <v>96</v>
      </c>
      <c r="H137" s="469" t="s">
        <v>97</v>
      </c>
      <c r="I137" s="469" t="s">
        <v>98</v>
      </c>
      <c r="J137" s="295"/>
      <c r="K137" s="469" t="s">
        <v>96</v>
      </c>
      <c r="L137" s="469" t="s">
        <v>97</v>
      </c>
      <c r="M137" s="470" t="s">
        <v>98</v>
      </c>
      <c r="P137" s="176"/>
      <c r="Q137" s="202"/>
      <c r="R137" s="13"/>
      <c r="S137" s="170"/>
    </row>
    <row r="138" spans="1:30">
      <c r="A138" s="18" t="s">
        <v>171</v>
      </c>
      <c r="B138" s="154"/>
      <c r="C138" s="471">
        <f>'Fertilizer Plan'!I168</f>
        <v>0</v>
      </c>
      <c r="D138" s="471">
        <f>'Fertilizer Plan'!J168</f>
        <v>0</v>
      </c>
      <c r="E138" s="471">
        <f>'Fertilizer Plan'!K168</f>
        <v>0</v>
      </c>
      <c r="F138" s="472"/>
      <c r="G138" s="471">
        <f>'Fertilizer Plan'!U168</f>
        <v>0</v>
      </c>
      <c r="H138" s="471">
        <f>'Fertilizer Plan'!V168</f>
        <v>0</v>
      </c>
      <c r="I138" s="471">
        <f>'Fertilizer Plan'!W168</f>
        <v>0</v>
      </c>
      <c r="J138" s="472"/>
      <c r="K138" s="471">
        <f>'Fertilizer Plan'!AG168</f>
        <v>0</v>
      </c>
      <c r="L138" s="471">
        <f>'Fertilizer Plan'!AH168</f>
        <v>0</v>
      </c>
      <c r="M138" s="473">
        <f>'Fertilizer Plan'!AI168</f>
        <v>0</v>
      </c>
      <c r="N138" s="83"/>
      <c r="O138" s="83"/>
      <c r="P138" s="84"/>
      <c r="Q138" s="85"/>
      <c r="R138" s="83"/>
      <c r="S138" s="203"/>
    </row>
    <row r="139" spans="1:30">
      <c r="A139" s="457"/>
      <c r="B139" s="154"/>
      <c r="C139" s="469" t="s">
        <v>99</v>
      </c>
      <c r="D139" s="469" t="s">
        <v>100</v>
      </c>
      <c r="E139" s="469" t="s">
        <v>170</v>
      </c>
      <c r="F139" s="472"/>
      <c r="G139" s="469" t="s">
        <v>99</v>
      </c>
      <c r="H139" s="469" t="s">
        <v>100</v>
      </c>
      <c r="I139" s="469" t="s">
        <v>170</v>
      </c>
      <c r="J139" s="472"/>
      <c r="K139" s="469" t="s">
        <v>99</v>
      </c>
      <c r="L139" s="469" t="s">
        <v>100</v>
      </c>
      <c r="M139" s="470" t="s">
        <v>170</v>
      </c>
      <c r="N139" s="83"/>
      <c r="O139" s="83"/>
      <c r="P139" s="84"/>
      <c r="Q139" s="85"/>
      <c r="R139" s="83"/>
      <c r="S139" s="203"/>
    </row>
    <row r="140" spans="1:30">
      <c r="A140" s="457"/>
      <c r="B140" s="154"/>
      <c r="C140" s="471">
        <f>'Fertilizer Plan'!I170</f>
        <v>0</v>
      </c>
      <c r="D140" s="471">
        <f>'Fertilizer Plan'!J170</f>
        <v>0</v>
      </c>
      <c r="E140" s="471">
        <f>'Fertilizer Plan'!K170</f>
        <v>0</v>
      </c>
      <c r="F140" s="472"/>
      <c r="G140" s="471">
        <f>'Fertilizer Plan'!U170</f>
        <v>0</v>
      </c>
      <c r="H140" s="471">
        <f>'Fertilizer Plan'!V170</f>
        <v>0</v>
      </c>
      <c r="I140" s="471">
        <f>'Fertilizer Plan'!W170</f>
        <v>0</v>
      </c>
      <c r="J140" s="472"/>
      <c r="K140" s="471">
        <f>'Fertilizer Plan'!AG170</f>
        <v>0</v>
      </c>
      <c r="L140" s="471">
        <f>'Fertilizer Plan'!AH170</f>
        <v>0</v>
      </c>
      <c r="M140" s="473">
        <f>'Fertilizer Plan'!AI170</f>
        <v>0</v>
      </c>
      <c r="N140" s="83"/>
      <c r="O140" s="83"/>
      <c r="P140" s="84"/>
      <c r="Q140" s="85"/>
      <c r="R140" s="83"/>
      <c r="S140" s="203"/>
    </row>
    <row r="141" spans="1:30">
      <c r="A141" s="457"/>
      <c r="B141" s="154"/>
      <c r="C141" s="469" t="s">
        <v>102</v>
      </c>
      <c r="D141" s="469" t="s">
        <v>103</v>
      </c>
      <c r="E141" s="469" t="s">
        <v>104</v>
      </c>
      <c r="F141" s="472"/>
      <c r="G141" s="469" t="s">
        <v>102</v>
      </c>
      <c r="H141" s="469" t="s">
        <v>103</v>
      </c>
      <c r="I141" s="469" t="s">
        <v>104</v>
      </c>
      <c r="J141" s="472"/>
      <c r="K141" s="469" t="s">
        <v>102</v>
      </c>
      <c r="L141" s="469" t="s">
        <v>103</v>
      </c>
      <c r="M141" s="470" t="s">
        <v>104</v>
      </c>
      <c r="N141" s="83"/>
      <c r="O141" s="83"/>
      <c r="P141" s="84"/>
      <c r="Q141" s="85"/>
      <c r="R141" s="83"/>
      <c r="S141" s="203"/>
    </row>
    <row r="142" spans="1:30">
      <c r="A142" s="457"/>
      <c r="B142" s="154"/>
      <c r="C142" s="474">
        <f>'Fertilizer Plan'!I172</f>
        <v>0</v>
      </c>
      <c r="D142" s="474">
        <f>'Fertilizer Plan'!J172</f>
        <v>0</v>
      </c>
      <c r="E142" s="474">
        <f>'Fertilizer Plan'!K172</f>
        <v>0</v>
      </c>
      <c r="F142" s="475"/>
      <c r="G142" s="474">
        <f>'Fertilizer Plan'!U172</f>
        <v>0</v>
      </c>
      <c r="H142" s="474">
        <f>'Fertilizer Plan'!V172</f>
        <v>0</v>
      </c>
      <c r="I142" s="474">
        <f>'Fertilizer Plan'!W172</f>
        <v>0</v>
      </c>
      <c r="J142" s="475"/>
      <c r="K142" s="474">
        <f>'Fertilizer Plan'!AG172</f>
        <v>0</v>
      </c>
      <c r="L142" s="474">
        <f>'Fertilizer Plan'!AH172</f>
        <v>0</v>
      </c>
      <c r="M142" s="476">
        <f>'Fertilizer Plan'!AI172</f>
        <v>0</v>
      </c>
      <c r="N142" s="83"/>
      <c r="O142" s="83"/>
      <c r="P142" s="84"/>
      <c r="Q142" s="85"/>
      <c r="R142" s="83"/>
      <c r="S142" s="203"/>
    </row>
    <row r="143" spans="1:30">
      <c r="A143" s="457"/>
      <c r="B143" s="154"/>
      <c r="C143" s="477"/>
      <c r="D143" s="477"/>
      <c r="E143" s="477"/>
      <c r="F143" s="472"/>
      <c r="G143" s="477"/>
      <c r="H143" s="477"/>
      <c r="I143" s="477"/>
      <c r="J143" s="472"/>
      <c r="K143" s="477"/>
      <c r="L143" s="477"/>
      <c r="M143" s="478"/>
      <c r="N143" s="83"/>
      <c r="O143" s="83"/>
      <c r="P143" s="84"/>
      <c r="Q143" s="85"/>
      <c r="R143" s="83"/>
      <c r="S143" s="203"/>
    </row>
    <row r="144" spans="1:30">
      <c r="A144" s="479"/>
      <c r="B144" s="441"/>
      <c r="C144" s="336" t="s">
        <v>296</v>
      </c>
      <c r="D144" s="455"/>
      <c r="E144" s="455"/>
      <c r="G144" s="916" t="s">
        <v>666</v>
      </c>
      <c r="H144" s="916"/>
      <c r="I144" s="916"/>
      <c r="J144" s="916"/>
      <c r="K144" s="916"/>
      <c r="L144" s="916"/>
      <c r="M144" s="917"/>
      <c r="N144" s="83"/>
      <c r="O144" s="83"/>
      <c r="P144" s="84"/>
      <c r="Q144" s="85"/>
      <c r="R144" s="83"/>
      <c r="S144" s="203"/>
    </row>
    <row r="145" spans="1:13" ht="19.5" thickBot="1">
      <c r="A145" s="351"/>
      <c r="B145" s="352"/>
      <c r="C145" s="352"/>
      <c r="D145" s="352"/>
      <c r="E145" s="352"/>
      <c r="F145" s="352"/>
      <c r="G145" s="352"/>
      <c r="H145" s="352"/>
      <c r="I145" s="352"/>
      <c r="J145" s="352"/>
      <c r="K145" s="352"/>
      <c r="L145" s="352"/>
      <c r="M145" s="353"/>
    </row>
    <row r="146" spans="1:13">
      <c r="A146" s="907" t="s">
        <v>384</v>
      </c>
      <c r="B146" s="908"/>
      <c r="C146" s="908"/>
      <c r="D146" s="908"/>
      <c r="E146" s="908"/>
      <c r="F146" s="908"/>
      <c r="G146" s="908"/>
      <c r="H146" s="908"/>
      <c r="I146" s="908"/>
      <c r="J146" s="908"/>
      <c r="K146" s="908"/>
      <c r="L146" s="908"/>
      <c r="M146" s="909"/>
    </row>
    <row r="147" spans="1:13">
      <c r="A147" s="350"/>
      <c r="M147" s="203"/>
    </row>
    <row r="148" spans="1:13">
      <c r="A148" s="350"/>
      <c r="M148" s="203"/>
    </row>
    <row r="149" spans="1:13">
      <c r="A149" s="350"/>
      <c r="M149" s="203"/>
    </row>
    <row r="150" spans="1:13">
      <c r="A150" s="350"/>
      <c r="M150" s="203"/>
    </row>
    <row r="151" spans="1:13">
      <c r="A151" s="350"/>
      <c r="M151" s="203"/>
    </row>
    <row r="152" spans="1:13">
      <c r="A152" s="350"/>
      <c r="M152" s="203"/>
    </row>
    <row r="153" spans="1:13">
      <c r="A153" s="350"/>
      <c r="M153" s="203"/>
    </row>
    <row r="154" spans="1:13">
      <c r="A154" s="350"/>
      <c r="M154" s="203"/>
    </row>
    <row r="155" spans="1:13">
      <c r="A155" s="350"/>
      <c r="M155" s="203"/>
    </row>
    <row r="156" spans="1:13">
      <c r="A156" s="350"/>
      <c r="M156" s="203"/>
    </row>
    <row r="157" spans="1:13">
      <c r="A157" s="350"/>
      <c r="M157" s="203"/>
    </row>
    <row r="158" spans="1:13">
      <c r="A158" s="350"/>
      <c r="M158" s="203"/>
    </row>
    <row r="159" spans="1:13">
      <c r="A159" s="350"/>
      <c r="M159" s="203"/>
    </row>
    <row r="160" spans="1:13">
      <c r="A160" s="350"/>
      <c r="M160" s="203"/>
    </row>
    <row r="161" spans="1:13">
      <c r="A161" s="350"/>
      <c r="M161" s="203"/>
    </row>
    <row r="162" spans="1:13">
      <c r="A162" s="350"/>
      <c r="M162" s="203"/>
    </row>
    <row r="163" spans="1:13">
      <c r="A163" s="350"/>
      <c r="M163" s="203"/>
    </row>
    <row r="164" spans="1:13">
      <c r="A164" s="350"/>
      <c r="M164" s="203"/>
    </row>
    <row r="165" spans="1:13">
      <c r="A165" s="350"/>
      <c r="M165" s="203"/>
    </row>
    <row r="166" spans="1:13">
      <c r="A166" s="350"/>
      <c r="M166" s="203"/>
    </row>
    <row r="167" spans="1:13">
      <c r="A167" s="350"/>
      <c r="M167" s="203"/>
    </row>
    <row r="168" spans="1:13">
      <c r="A168" s="350"/>
      <c r="M168" s="203"/>
    </row>
    <row r="169" spans="1:13">
      <c r="A169" s="350"/>
      <c r="M169" s="203"/>
    </row>
    <row r="170" spans="1:13">
      <c r="A170" s="350"/>
      <c r="M170" s="203"/>
    </row>
    <row r="171" spans="1:13">
      <c r="A171" s="350"/>
      <c r="M171" s="203"/>
    </row>
    <row r="172" spans="1:13">
      <c r="A172" s="350"/>
      <c r="M172" s="203"/>
    </row>
    <row r="173" spans="1:13">
      <c r="A173" s="350"/>
      <c r="M173" s="203"/>
    </row>
    <row r="174" spans="1:13">
      <c r="A174" s="350"/>
      <c r="M174" s="203"/>
    </row>
    <row r="175" spans="1:13">
      <c r="A175" s="350"/>
      <c r="M175" s="203"/>
    </row>
    <row r="176" spans="1:13">
      <c r="A176" s="350"/>
      <c r="M176" s="203"/>
    </row>
    <row r="177" spans="1:13">
      <c r="A177" s="350"/>
      <c r="M177" s="203"/>
    </row>
    <row r="178" spans="1:13">
      <c r="A178" s="350"/>
      <c r="M178" s="203"/>
    </row>
    <row r="179" spans="1:13">
      <c r="A179" s="350"/>
      <c r="M179" s="203"/>
    </row>
    <row r="180" spans="1:13">
      <c r="A180" s="350"/>
      <c r="M180" s="203"/>
    </row>
    <row r="181" spans="1:13">
      <c r="A181" s="350"/>
      <c r="M181" s="203"/>
    </row>
    <row r="182" spans="1:13">
      <c r="A182" s="350"/>
      <c r="M182" s="203"/>
    </row>
    <row r="183" spans="1:13">
      <c r="A183" s="350"/>
      <c r="M183" s="203"/>
    </row>
    <row r="184" spans="1:13">
      <c r="A184" s="350"/>
      <c r="M184" s="203"/>
    </row>
    <row r="185" spans="1:13">
      <c r="A185" s="350"/>
      <c r="M185" s="203"/>
    </row>
    <row r="186" spans="1:13">
      <c r="A186" s="350"/>
      <c r="M186" s="203"/>
    </row>
    <row r="187" spans="1:13">
      <c r="A187" s="350"/>
      <c r="M187" s="203"/>
    </row>
    <row r="188" spans="1:13">
      <c r="A188" s="350"/>
      <c r="M188" s="203"/>
    </row>
    <row r="189" spans="1:13">
      <c r="A189" s="350"/>
      <c r="M189" s="203"/>
    </row>
    <row r="190" spans="1:13">
      <c r="A190" s="350"/>
      <c r="M190" s="203"/>
    </row>
    <row r="191" spans="1:13">
      <c r="A191" s="350"/>
      <c r="M191" s="203"/>
    </row>
    <row r="192" spans="1:13">
      <c r="A192" s="350"/>
      <c r="M192" s="203"/>
    </row>
    <row r="193" spans="1:13">
      <c r="A193" s="350"/>
      <c r="M193" s="203"/>
    </row>
    <row r="194" spans="1:13">
      <c r="A194" s="350"/>
      <c r="M194" s="203"/>
    </row>
    <row r="195" spans="1:13">
      <c r="A195" s="350"/>
      <c r="M195" s="203"/>
    </row>
    <row r="196" spans="1:13">
      <c r="A196" s="350"/>
      <c r="M196" s="203"/>
    </row>
    <row r="197" spans="1:13">
      <c r="A197" s="350"/>
      <c r="M197" s="203"/>
    </row>
    <row r="198" spans="1:13">
      <c r="A198" s="350"/>
      <c r="M198" s="203"/>
    </row>
    <row r="199" spans="1:13">
      <c r="A199" s="350"/>
      <c r="M199" s="203"/>
    </row>
    <row r="200" spans="1:13">
      <c r="A200" s="350"/>
      <c r="M200" s="203"/>
    </row>
    <row r="201" spans="1:13">
      <c r="A201" s="350"/>
      <c r="M201" s="203"/>
    </row>
    <row r="202" spans="1:13">
      <c r="A202" s="350"/>
      <c r="M202" s="203"/>
    </row>
    <row r="203" spans="1:13">
      <c r="A203" s="350"/>
      <c r="M203" s="203"/>
    </row>
    <row r="204" spans="1:13">
      <c r="A204" s="350"/>
      <c r="M204" s="203"/>
    </row>
    <row r="205" spans="1:13">
      <c r="A205" s="350"/>
      <c r="M205" s="203"/>
    </row>
    <row r="206" spans="1:13" ht="19.5" thickBot="1">
      <c r="A206" s="351"/>
      <c r="B206" s="352"/>
      <c r="C206" s="352"/>
      <c r="D206" s="352"/>
      <c r="E206" s="352"/>
      <c r="F206" s="352"/>
      <c r="G206" s="352"/>
      <c r="H206" s="352"/>
      <c r="I206" s="352"/>
      <c r="J206" s="352"/>
      <c r="K206" s="352"/>
      <c r="L206" s="352"/>
      <c r="M206" s="353"/>
    </row>
  </sheetData>
  <sheetProtection algorithmName="SHA-512" hashValue="elaocxQ/M0NU/Oh41rRxzznmNVSlXUazXz4eAgxJEx8BAMw1O3HBNhEi8yS6s/CFlqBfeqTWFoCO0oKplYQM3g==" saltValue="WvGJTDtroLgszt3DSMSsQw==" spinCount="100000" sheet="1" objects="1" scenarios="1"/>
  <dataConsolidate/>
  <mergeCells count="44">
    <mergeCell ref="A76:M76"/>
    <mergeCell ref="W36:AA37"/>
    <mergeCell ref="A1:M3"/>
    <mergeCell ref="C5:E5"/>
    <mergeCell ref="G5:I5"/>
    <mergeCell ref="K5:M5"/>
    <mergeCell ref="A66:M66"/>
    <mergeCell ref="A15:A16"/>
    <mergeCell ref="P5:Q5"/>
    <mergeCell ref="N5:O5"/>
    <mergeCell ref="R5:S5"/>
    <mergeCell ref="B15:B16"/>
    <mergeCell ref="W30:AA30"/>
    <mergeCell ref="W16:AA16"/>
    <mergeCell ref="W7:AA7"/>
    <mergeCell ref="W27:AA28"/>
    <mergeCell ref="A146:M146"/>
    <mergeCell ref="A85:M85"/>
    <mergeCell ref="H86:I86"/>
    <mergeCell ref="D86:E86"/>
    <mergeCell ref="A88:A89"/>
    <mergeCell ref="A92:A93"/>
    <mergeCell ref="L86:M86"/>
    <mergeCell ref="A124:A125"/>
    <mergeCell ref="G144:M144"/>
    <mergeCell ref="A131:A132"/>
    <mergeCell ref="A121:M121"/>
    <mergeCell ref="A103:M103"/>
    <mergeCell ref="A96:A97"/>
    <mergeCell ref="A100:A101"/>
    <mergeCell ref="AJ33:AK34"/>
    <mergeCell ref="AM31:AN31"/>
    <mergeCell ref="AG24:AG26"/>
    <mergeCell ref="AH26:AI26"/>
    <mergeCell ref="AL24:AL26"/>
    <mergeCell ref="AM26:AN26"/>
    <mergeCell ref="AG29:AG31"/>
    <mergeCell ref="AH31:AI31"/>
    <mergeCell ref="AL29:AL31"/>
    <mergeCell ref="AE19:AP19"/>
    <mergeCell ref="AE27:AE28"/>
    <mergeCell ref="W6:AA6"/>
    <mergeCell ref="AP27:AP28"/>
    <mergeCell ref="AJ21:AK22"/>
  </mergeCells>
  <conditionalFormatting sqref="D20:D52">
    <cfRule type="dataBar" priority="570">
      <dataBar showValue="0">
        <cfvo type="min"/>
        <cfvo type="max"/>
        <color rgb="FF63C384"/>
      </dataBar>
      <extLst>
        <ext xmlns:x14="http://schemas.microsoft.com/office/spreadsheetml/2009/9/main" uri="{B025F937-C7B1-47D3-B67F-A62EFF666E3E}">
          <x14:id>{DFFD5CBF-4274-4041-81CA-88DEBFB189B6}</x14:id>
        </ext>
      </extLst>
    </cfRule>
  </conditionalFormatting>
  <conditionalFormatting sqref="D57:D61">
    <cfRule type="dataBar" priority="563">
      <dataBar showValue="0">
        <cfvo type="min"/>
        <cfvo type="max"/>
        <color rgb="FF63C384"/>
      </dataBar>
      <extLst>
        <ext xmlns:x14="http://schemas.microsoft.com/office/spreadsheetml/2009/9/main" uri="{B025F937-C7B1-47D3-B67F-A62EFF666E3E}">
          <x14:id>{ABF07D87-9307-466F-B423-AD86C2B8D024}</x14:id>
        </ext>
      </extLst>
    </cfRule>
  </conditionalFormatting>
  <conditionalFormatting sqref="D68:D71">
    <cfRule type="dataBar" priority="576">
      <dataBar showValue="0">
        <cfvo type="min"/>
        <cfvo type="max"/>
        <color rgb="FF63C384"/>
      </dataBar>
      <extLst>
        <ext xmlns:x14="http://schemas.microsoft.com/office/spreadsheetml/2009/9/main" uri="{B025F937-C7B1-47D3-B67F-A62EFF666E3E}">
          <x14:id>{08133580-B0A9-4829-94F8-8E3826767F44}</x14:id>
        </ext>
      </extLst>
    </cfRule>
  </conditionalFormatting>
  <conditionalFormatting sqref="D78:D79">
    <cfRule type="dataBar" priority="579">
      <dataBar showValue="0">
        <cfvo type="min"/>
        <cfvo type="max"/>
        <color rgb="FF63C384"/>
      </dataBar>
      <extLst>
        <ext xmlns:x14="http://schemas.microsoft.com/office/spreadsheetml/2009/9/main" uri="{B025F937-C7B1-47D3-B67F-A62EFF666E3E}">
          <x14:id>{9A9F3E77-62BD-4925-AD96-C63EE6A7EA02}</x14:id>
        </ext>
      </extLst>
    </cfRule>
  </conditionalFormatting>
  <conditionalFormatting sqref="H20:H52">
    <cfRule type="dataBar" priority="572">
      <dataBar showValue="0">
        <cfvo type="min"/>
        <cfvo type="max"/>
        <color rgb="FF63C384"/>
      </dataBar>
      <extLst>
        <ext xmlns:x14="http://schemas.microsoft.com/office/spreadsheetml/2009/9/main" uri="{B025F937-C7B1-47D3-B67F-A62EFF666E3E}">
          <x14:id>{B448E95B-C6F8-453E-A3AE-249FD402675F}</x14:id>
        </ext>
      </extLst>
    </cfRule>
  </conditionalFormatting>
  <conditionalFormatting sqref="H57:H61">
    <cfRule type="dataBar" priority="562">
      <dataBar showValue="0">
        <cfvo type="min"/>
        <cfvo type="max"/>
        <color rgb="FF63C384"/>
      </dataBar>
      <extLst>
        <ext xmlns:x14="http://schemas.microsoft.com/office/spreadsheetml/2009/9/main" uri="{B025F937-C7B1-47D3-B67F-A62EFF666E3E}">
          <x14:id>{2A1A8D49-D5EF-4887-A5B3-2AB7ABDC1709}</x14:id>
        </ext>
      </extLst>
    </cfRule>
  </conditionalFormatting>
  <conditionalFormatting sqref="H68:H71">
    <cfRule type="dataBar" priority="577">
      <dataBar showValue="0">
        <cfvo type="min"/>
        <cfvo type="max"/>
        <color rgb="FF63C384"/>
      </dataBar>
      <extLst>
        <ext xmlns:x14="http://schemas.microsoft.com/office/spreadsheetml/2009/9/main" uri="{B025F937-C7B1-47D3-B67F-A62EFF666E3E}">
          <x14:id>{ECAE5CCC-EF50-49AE-93EF-FD70ED20A078}</x14:id>
        </ext>
      </extLst>
    </cfRule>
  </conditionalFormatting>
  <conditionalFormatting sqref="H78:H79">
    <cfRule type="dataBar" priority="580">
      <dataBar showValue="0">
        <cfvo type="min"/>
        <cfvo type="max"/>
        <color rgb="FF63C384"/>
      </dataBar>
      <extLst>
        <ext xmlns:x14="http://schemas.microsoft.com/office/spreadsheetml/2009/9/main" uri="{B025F937-C7B1-47D3-B67F-A62EFF666E3E}">
          <x14:id>{53A66F99-7791-46CD-89E7-7346DA69D8CA}</x14:id>
        </ext>
      </extLst>
    </cfRule>
  </conditionalFormatting>
  <conditionalFormatting sqref="L20:L52">
    <cfRule type="dataBar" priority="574">
      <dataBar showValue="0">
        <cfvo type="min"/>
        <cfvo type="max"/>
        <color rgb="FF63C384"/>
      </dataBar>
      <extLst>
        <ext xmlns:x14="http://schemas.microsoft.com/office/spreadsheetml/2009/9/main" uri="{B025F937-C7B1-47D3-B67F-A62EFF666E3E}">
          <x14:id>{174E35D5-C436-4A14-886C-5B51743A4A33}</x14:id>
        </ext>
      </extLst>
    </cfRule>
  </conditionalFormatting>
  <conditionalFormatting sqref="L57:L61">
    <cfRule type="dataBar" priority="561">
      <dataBar showValue="0">
        <cfvo type="min"/>
        <cfvo type="max"/>
        <color rgb="FF63C384"/>
      </dataBar>
      <extLst>
        <ext xmlns:x14="http://schemas.microsoft.com/office/spreadsheetml/2009/9/main" uri="{B025F937-C7B1-47D3-B67F-A62EFF666E3E}">
          <x14:id>{4F918F03-759B-40BA-A88B-680B640ED8F4}</x14:id>
        </ext>
      </extLst>
    </cfRule>
  </conditionalFormatting>
  <conditionalFormatting sqref="L68:L71">
    <cfRule type="dataBar" priority="578">
      <dataBar showValue="0">
        <cfvo type="min"/>
        <cfvo type="max"/>
        <color rgb="FF63C384"/>
      </dataBar>
      <extLst>
        <ext xmlns:x14="http://schemas.microsoft.com/office/spreadsheetml/2009/9/main" uri="{B025F937-C7B1-47D3-B67F-A62EFF666E3E}">
          <x14:id>{1B7AB26F-0845-4547-BD62-D24C8DBDA6E0}</x14:id>
        </ext>
      </extLst>
    </cfRule>
  </conditionalFormatting>
  <conditionalFormatting sqref="L78:L79">
    <cfRule type="dataBar" priority="581">
      <dataBar showValue="0">
        <cfvo type="min"/>
        <cfvo type="max"/>
        <color rgb="FF63C384"/>
      </dataBar>
      <extLst>
        <ext xmlns:x14="http://schemas.microsoft.com/office/spreadsheetml/2009/9/main" uri="{B025F937-C7B1-47D3-B67F-A62EFF666E3E}">
          <x14:id>{1258B422-5B4F-4689-A016-B7CC44E6DC3E}</x14:id>
        </ext>
      </extLst>
    </cfRule>
  </conditionalFormatting>
  <hyperlinks>
    <hyperlink ref="G144" r:id="rId1" display="MSU Bulletin E-2904, Nutrient Recommendations for Field Crops in Michigan" xr:uid="{A5B0511A-6F5D-4F36-80E4-AF0002EFC7E6}"/>
  </hyperlinks>
  <printOptions horizontalCentered="1"/>
  <pageMargins left="0.25" right="0.25" top="0.25" bottom="0.25" header="0" footer="0"/>
  <pageSetup scale="55" orientation="portrait" r:id="rId2"/>
  <drawing r:id="rId3"/>
  <extLst>
    <ext xmlns:x14="http://schemas.microsoft.com/office/spreadsheetml/2009/9/main" uri="{78C0D931-6437-407d-A8EE-F0AAD7539E65}">
      <x14:conditionalFormattings>
        <x14:conditionalFormatting xmlns:xm="http://schemas.microsoft.com/office/excel/2006/main">
          <x14:cfRule type="dataBar" id="{DFFD5CBF-4274-4041-81CA-88DEBFB189B6}">
            <x14:dataBar minLength="0" maxLength="100" border="1" negativeBarBorderColorSameAsPositive="0">
              <x14:cfvo type="autoMin"/>
              <x14:cfvo type="autoMax"/>
              <x14:borderColor rgb="FF63C384"/>
              <x14:negativeFillColor rgb="FFFF0000"/>
              <x14:negativeBorderColor rgb="FFFF0000"/>
              <x14:axisColor rgb="FF000000"/>
            </x14:dataBar>
          </x14:cfRule>
          <xm:sqref>D20:D52</xm:sqref>
        </x14:conditionalFormatting>
        <x14:conditionalFormatting xmlns:xm="http://schemas.microsoft.com/office/excel/2006/main">
          <x14:cfRule type="dataBar" id="{ABF07D87-9307-466F-B423-AD86C2B8D024}">
            <x14:dataBar minLength="0" maxLength="100" border="1" negativeBarBorderColorSameAsPositive="0">
              <x14:cfvo type="autoMin"/>
              <x14:cfvo type="autoMax"/>
              <x14:borderColor rgb="FF63C384"/>
              <x14:negativeFillColor rgb="FFFF0000"/>
              <x14:negativeBorderColor rgb="FFFF0000"/>
              <x14:axisColor rgb="FF000000"/>
            </x14:dataBar>
          </x14:cfRule>
          <xm:sqref>D57:D61</xm:sqref>
        </x14:conditionalFormatting>
        <x14:conditionalFormatting xmlns:xm="http://schemas.microsoft.com/office/excel/2006/main">
          <x14:cfRule type="dataBar" id="{08133580-B0A9-4829-94F8-8E3826767F44}">
            <x14:dataBar minLength="0" maxLength="100" border="1" negativeBarBorderColorSameAsPositive="0">
              <x14:cfvo type="autoMin"/>
              <x14:cfvo type="autoMax"/>
              <x14:borderColor rgb="FF63C384"/>
              <x14:negativeFillColor rgb="FFFF0000"/>
              <x14:negativeBorderColor rgb="FFFF0000"/>
              <x14:axisColor rgb="FF000000"/>
            </x14:dataBar>
          </x14:cfRule>
          <xm:sqref>D68:D71</xm:sqref>
        </x14:conditionalFormatting>
        <x14:conditionalFormatting xmlns:xm="http://schemas.microsoft.com/office/excel/2006/main">
          <x14:cfRule type="dataBar" id="{9A9F3E77-62BD-4925-AD96-C63EE6A7EA02}">
            <x14:dataBar minLength="0" maxLength="100" border="1" negativeBarBorderColorSameAsPositive="0">
              <x14:cfvo type="autoMin"/>
              <x14:cfvo type="autoMax"/>
              <x14:borderColor rgb="FF63C384"/>
              <x14:negativeFillColor rgb="FFFF0000"/>
              <x14:negativeBorderColor rgb="FFFF0000"/>
              <x14:axisColor rgb="FF000000"/>
            </x14:dataBar>
          </x14:cfRule>
          <xm:sqref>D78:D79</xm:sqref>
        </x14:conditionalFormatting>
        <x14:conditionalFormatting xmlns:xm="http://schemas.microsoft.com/office/excel/2006/main">
          <x14:cfRule type="dataBar" id="{B448E95B-C6F8-453E-A3AE-249FD402675F}">
            <x14:dataBar minLength="0" maxLength="100" border="1" negativeBarBorderColorSameAsPositive="0">
              <x14:cfvo type="autoMin"/>
              <x14:cfvo type="autoMax"/>
              <x14:borderColor rgb="FF63C384"/>
              <x14:negativeFillColor rgb="FFFF0000"/>
              <x14:negativeBorderColor rgb="FFFF0000"/>
              <x14:axisColor rgb="FF000000"/>
            </x14:dataBar>
          </x14:cfRule>
          <xm:sqref>H20:H52</xm:sqref>
        </x14:conditionalFormatting>
        <x14:conditionalFormatting xmlns:xm="http://schemas.microsoft.com/office/excel/2006/main">
          <x14:cfRule type="dataBar" id="{2A1A8D49-D5EF-4887-A5B3-2AB7ABDC1709}">
            <x14:dataBar minLength="0" maxLength="100" border="1" negativeBarBorderColorSameAsPositive="0">
              <x14:cfvo type="autoMin"/>
              <x14:cfvo type="autoMax"/>
              <x14:borderColor rgb="FF63C384"/>
              <x14:negativeFillColor rgb="FFFF0000"/>
              <x14:negativeBorderColor rgb="FFFF0000"/>
              <x14:axisColor rgb="FF000000"/>
            </x14:dataBar>
          </x14:cfRule>
          <xm:sqref>H57:H61</xm:sqref>
        </x14:conditionalFormatting>
        <x14:conditionalFormatting xmlns:xm="http://schemas.microsoft.com/office/excel/2006/main">
          <x14:cfRule type="dataBar" id="{ECAE5CCC-EF50-49AE-93EF-FD70ED20A078}">
            <x14:dataBar minLength="0" maxLength="100" border="1" negativeBarBorderColorSameAsPositive="0">
              <x14:cfvo type="autoMin"/>
              <x14:cfvo type="autoMax"/>
              <x14:borderColor rgb="FF63C384"/>
              <x14:negativeFillColor rgb="FFFF0000"/>
              <x14:negativeBorderColor rgb="FFFF0000"/>
              <x14:axisColor rgb="FF000000"/>
            </x14:dataBar>
          </x14:cfRule>
          <xm:sqref>H68:H71</xm:sqref>
        </x14:conditionalFormatting>
        <x14:conditionalFormatting xmlns:xm="http://schemas.microsoft.com/office/excel/2006/main">
          <x14:cfRule type="dataBar" id="{53A66F99-7791-46CD-89E7-7346DA69D8CA}">
            <x14:dataBar minLength="0" maxLength="100" border="1" negativeBarBorderColorSameAsPositive="0">
              <x14:cfvo type="autoMin"/>
              <x14:cfvo type="autoMax"/>
              <x14:borderColor rgb="FF63C384"/>
              <x14:negativeFillColor rgb="FFFF0000"/>
              <x14:negativeBorderColor rgb="FFFF0000"/>
              <x14:axisColor rgb="FF000000"/>
            </x14:dataBar>
          </x14:cfRule>
          <xm:sqref>H78:H79</xm:sqref>
        </x14:conditionalFormatting>
        <x14:conditionalFormatting xmlns:xm="http://schemas.microsoft.com/office/excel/2006/main">
          <x14:cfRule type="dataBar" id="{174E35D5-C436-4A14-886C-5B51743A4A33}">
            <x14:dataBar minLength="0" maxLength="100" border="1" negativeBarBorderColorSameAsPositive="0">
              <x14:cfvo type="autoMin"/>
              <x14:cfvo type="autoMax"/>
              <x14:borderColor rgb="FF63C384"/>
              <x14:negativeFillColor rgb="FFFF0000"/>
              <x14:negativeBorderColor rgb="FFFF0000"/>
              <x14:axisColor rgb="FF000000"/>
            </x14:dataBar>
          </x14:cfRule>
          <xm:sqref>L20:L52</xm:sqref>
        </x14:conditionalFormatting>
        <x14:conditionalFormatting xmlns:xm="http://schemas.microsoft.com/office/excel/2006/main">
          <x14:cfRule type="dataBar" id="{4F918F03-759B-40BA-A88B-680B640ED8F4}">
            <x14:dataBar minLength="0" maxLength="100" border="1" negativeBarBorderColorSameAsPositive="0">
              <x14:cfvo type="autoMin"/>
              <x14:cfvo type="autoMax"/>
              <x14:borderColor rgb="FF63C384"/>
              <x14:negativeFillColor rgb="FFFF0000"/>
              <x14:negativeBorderColor rgb="FFFF0000"/>
              <x14:axisColor rgb="FF000000"/>
            </x14:dataBar>
          </x14:cfRule>
          <xm:sqref>L57:L61</xm:sqref>
        </x14:conditionalFormatting>
        <x14:conditionalFormatting xmlns:xm="http://schemas.microsoft.com/office/excel/2006/main">
          <x14:cfRule type="dataBar" id="{1B7AB26F-0845-4547-BD62-D24C8DBDA6E0}">
            <x14:dataBar minLength="0" maxLength="100" border="1" negativeBarBorderColorSameAsPositive="0">
              <x14:cfvo type="autoMin"/>
              <x14:cfvo type="autoMax"/>
              <x14:borderColor rgb="FF63C384"/>
              <x14:negativeFillColor rgb="FFFF0000"/>
              <x14:negativeBorderColor rgb="FFFF0000"/>
              <x14:axisColor rgb="FF000000"/>
            </x14:dataBar>
          </x14:cfRule>
          <xm:sqref>L68:L71</xm:sqref>
        </x14:conditionalFormatting>
        <x14:conditionalFormatting xmlns:xm="http://schemas.microsoft.com/office/excel/2006/main">
          <x14:cfRule type="dataBar" id="{1258B422-5B4F-4689-A016-B7CC44E6DC3E}">
            <x14:dataBar minLength="0" maxLength="100" border="1" negativeBarBorderColorSameAsPositive="0">
              <x14:cfvo type="autoMin"/>
              <x14:cfvo type="autoMax"/>
              <x14:borderColor rgb="FF63C384"/>
              <x14:negativeFillColor rgb="FFFF0000"/>
              <x14:negativeBorderColor rgb="FFFF0000"/>
              <x14:axisColor rgb="FF000000"/>
            </x14:dataBar>
          </x14:cfRule>
          <xm:sqref>L78:L79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A061C83-5B37-4C3C-B625-8F69F6ACF4E7}">
          <x14:formula1>
            <xm:f>'Data and Lists'!$A$5:$A$39</xm:f>
          </x14:formula1>
          <xm:sqref>C5:E5 G5:I5 K5:M5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F6B0D-48FE-4009-AF4A-ADCAA4585366}">
  <sheetPr codeName="Sheet19"/>
  <dimension ref="A1:L41"/>
  <sheetViews>
    <sheetView workbookViewId="0">
      <selection activeCell="J41" sqref="J41"/>
    </sheetView>
  </sheetViews>
  <sheetFormatPr defaultColWidth="9.140625" defaultRowHeight="15"/>
  <cols>
    <col min="1" max="1" width="47.42578125" bestFit="1" customWidth="1"/>
    <col min="9" max="9" width="15.7109375" bestFit="1" customWidth="1"/>
    <col min="10" max="10" width="9.85546875" bestFit="1" customWidth="1"/>
    <col min="18" max="21" width="8.85546875" customWidth="1"/>
  </cols>
  <sheetData>
    <row r="1" spans="1:12">
      <c r="B1" t="s">
        <v>64</v>
      </c>
      <c r="C1" t="s">
        <v>116</v>
      </c>
      <c r="D1" t="s">
        <v>117</v>
      </c>
      <c r="J1" s="4" t="s">
        <v>64</v>
      </c>
      <c r="K1" t="s">
        <v>116</v>
      </c>
      <c r="L1" t="s">
        <v>117</v>
      </c>
    </row>
    <row r="2" spans="1:12" ht="15.75">
      <c r="A2" s="2" t="s">
        <v>80</v>
      </c>
      <c r="B2" s="1">
        <f>'Crop Budget (Main)'!C20</f>
        <v>0</v>
      </c>
      <c r="C2" s="1">
        <f>'Crop Budget (Main)'!G20</f>
        <v>0</v>
      </c>
      <c r="D2" s="1">
        <f>'Crop Budget (Main)'!K20</f>
        <v>0</v>
      </c>
      <c r="I2" t="s">
        <v>379</v>
      </c>
      <c r="J2" s="346">
        <f>'Crop Budget (Main)'!$C$53</f>
        <v>0</v>
      </c>
      <c r="K2" s="346">
        <f>'Crop Budget (Main)'!$G$53</f>
        <v>0</v>
      </c>
      <c r="L2" s="346">
        <f>'Crop Budget (Main)'!$K$53</f>
        <v>0</v>
      </c>
    </row>
    <row r="3" spans="1:12" ht="15.75">
      <c r="A3" s="2" t="s">
        <v>81</v>
      </c>
      <c r="B3" s="1">
        <f>'Crop Budget (Main)'!C21</f>
        <v>0</v>
      </c>
      <c r="C3" s="1">
        <f>'Crop Budget (Main)'!G21</f>
        <v>0</v>
      </c>
      <c r="D3" s="1">
        <f>'Crop Budget (Main)'!K21</f>
        <v>0</v>
      </c>
      <c r="I3" t="s">
        <v>380</v>
      </c>
      <c r="J3" s="346">
        <f>'Crop Budget (Main)'!$C$62</f>
        <v>0</v>
      </c>
      <c r="K3" s="346">
        <f>'Crop Budget (Main)'!$G$62</f>
        <v>0</v>
      </c>
      <c r="L3" s="346">
        <f>'Crop Budget (Main)'!$K$62</f>
        <v>0</v>
      </c>
    </row>
    <row r="4" spans="1:12" ht="15.75">
      <c r="A4" s="2" t="s">
        <v>251</v>
      </c>
      <c r="B4" s="1">
        <f>SUM(B5:B7)</f>
        <v>0</v>
      </c>
      <c r="C4" s="1">
        <f t="shared" ref="C4:D4" si="0">SUM(C5:C7)</f>
        <v>0</v>
      </c>
      <c r="D4" s="1">
        <f t="shared" si="0"/>
        <v>0</v>
      </c>
      <c r="I4" t="s">
        <v>381</v>
      </c>
      <c r="J4" s="346">
        <f>'Crop Budget (Main)'!$C$63</f>
        <v>0</v>
      </c>
      <c r="K4" s="346">
        <f>'Crop Budget (Main)'!$G$63</f>
        <v>0</v>
      </c>
      <c r="L4" s="346">
        <f>'Crop Budget (Main)'!$K$63</f>
        <v>0</v>
      </c>
    </row>
    <row r="5" spans="1:12" ht="15.75" hidden="1">
      <c r="A5" s="347" t="s">
        <v>253</v>
      </c>
      <c r="B5" s="1">
        <f>'Crop Budget (Main)'!C23</f>
        <v>0</v>
      </c>
      <c r="C5" s="1">
        <f>'Crop Budget (Main)'!G23</f>
        <v>0</v>
      </c>
      <c r="D5" s="1">
        <f>'Crop Budget (Main)'!K23</f>
        <v>0</v>
      </c>
    </row>
    <row r="6" spans="1:12" ht="15.75" hidden="1">
      <c r="A6" s="347" t="s">
        <v>111</v>
      </c>
      <c r="B6" s="1">
        <f>'Crop Budget (Main)'!C24</f>
        <v>0</v>
      </c>
      <c r="C6" s="1">
        <f>'Crop Budget (Main)'!G24</f>
        <v>0</v>
      </c>
      <c r="D6" s="1">
        <f>'Crop Budget (Main)'!K24</f>
        <v>0</v>
      </c>
    </row>
    <row r="7" spans="1:12" ht="15.75" hidden="1">
      <c r="A7" s="347" t="s">
        <v>138</v>
      </c>
      <c r="B7" s="1">
        <f>'Crop Budget (Main)'!C25</f>
        <v>0</v>
      </c>
      <c r="C7" s="1">
        <f>'Crop Budget (Main)'!G25</f>
        <v>0</v>
      </c>
      <c r="D7" s="1">
        <f>'Crop Budget (Main)'!K25</f>
        <v>0</v>
      </c>
    </row>
    <row r="8" spans="1:12" ht="15.75">
      <c r="A8" s="2" t="s">
        <v>85</v>
      </c>
      <c r="B8" s="1">
        <f>'Crop Budget (Main)'!C26</f>
        <v>0</v>
      </c>
      <c r="C8" s="1">
        <f>'Crop Budget (Main)'!G26</f>
        <v>0</v>
      </c>
      <c r="D8" s="1">
        <f>'Crop Budget (Main)'!K26</f>
        <v>0</v>
      </c>
    </row>
    <row r="9" spans="1:12" ht="15.75">
      <c r="A9" s="2" t="s">
        <v>247</v>
      </c>
      <c r="B9" s="1">
        <f>'Crop Budget (Main)'!C27</f>
        <v>0</v>
      </c>
      <c r="C9" s="1">
        <f>'Crop Budget (Main)'!G27</f>
        <v>0</v>
      </c>
      <c r="D9" s="1">
        <f>'Crop Budget (Main)'!K27</f>
        <v>0</v>
      </c>
    </row>
    <row r="10" spans="1:12" ht="15.75">
      <c r="A10" s="2" t="s">
        <v>91</v>
      </c>
      <c r="B10" s="1">
        <f>'Crop Budget (Main)'!C28</f>
        <v>0</v>
      </c>
      <c r="C10" s="1">
        <f>'Crop Budget (Main)'!G28</f>
        <v>0</v>
      </c>
      <c r="D10" s="1">
        <f>'Crop Budget (Main)'!K28</f>
        <v>0</v>
      </c>
      <c r="J10" s="4"/>
    </row>
    <row r="11" spans="1:12" ht="15.75">
      <c r="A11" s="2" t="s">
        <v>87</v>
      </c>
      <c r="B11" s="1">
        <f>SUM(B12:B13)</f>
        <v>0</v>
      </c>
      <c r="C11" s="1">
        <f t="shared" ref="C11:D11" si="1">SUM(C12:C13)</f>
        <v>0</v>
      </c>
      <c r="D11" s="1">
        <f t="shared" si="1"/>
        <v>0</v>
      </c>
      <c r="J11" s="346"/>
      <c r="K11" s="346"/>
      <c r="L11" s="346"/>
    </row>
    <row r="12" spans="1:12" hidden="1">
      <c r="A12" s="348" t="s">
        <v>88</v>
      </c>
      <c r="B12" s="1">
        <f>'Crop Budget (Main)'!C30</f>
        <v>0</v>
      </c>
      <c r="C12" s="1">
        <f>'Crop Budget (Main)'!G30</f>
        <v>0</v>
      </c>
      <c r="D12" s="1">
        <f>'Crop Budget (Main)'!K30</f>
        <v>0</v>
      </c>
      <c r="J12" s="346"/>
      <c r="K12" s="346"/>
      <c r="L12" s="346"/>
    </row>
    <row r="13" spans="1:12" hidden="1">
      <c r="A13" s="348" t="s">
        <v>89</v>
      </c>
      <c r="B13" s="1">
        <f>'Crop Budget (Main)'!C31</f>
        <v>0</v>
      </c>
      <c r="C13" s="1">
        <f>'Crop Budget (Main)'!G31</f>
        <v>0</v>
      </c>
      <c r="D13" s="1">
        <f>'Crop Budget (Main)'!K31</f>
        <v>0</v>
      </c>
    </row>
    <row r="14" spans="1:12" ht="15.75">
      <c r="A14" s="2" t="s">
        <v>90</v>
      </c>
      <c r="B14" s="1">
        <f>SUM(B15:B16)</f>
        <v>0</v>
      </c>
      <c r="C14" s="1">
        <f t="shared" ref="C14:D14" si="2">SUM(C15:C16)</f>
        <v>0</v>
      </c>
      <c r="D14" s="1">
        <f t="shared" si="2"/>
        <v>0</v>
      </c>
    </row>
    <row r="15" spans="1:12" hidden="1">
      <c r="A15" s="349" t="s">
        <v>248</v>
      </c>
      <c r="B15" s="1">
        <f>'Crop Budget (Main)'!C33</f>
        <v>0</v>
      </c>
      <c r="C15" s="1">
        <f>'Crop Budget (Main)'!G33</f>
        <v>0</v>
      </c>
      <c r="D15" s="1">
        <f>'Crop Budget (Main)'!K33</f>
        <v>0</v>
      </c>
    </row>
    <row r="16" spans="1:12" hidden="1">
      <c r="A16" s="349" t="s">
        <v>249</v>
      </c>
      <c r="B16" s="1">
        <f>'Crop Budget (Main)'!C34</f>
        <v>0</v>
      </c>
      <c r="C16" s="1">
        <f>'Crop Budget (Main)'!G34</f>
        <v>0</v>
      </c>
      <c r="D16" s="1">
        <f>'Crop Budget (Main)'!K34</f>
        <v>0</v>
      </c>
    </row>
    <row r="17" spans="1:4" ht="15.75">
      <c r="A17" s="2" t="s">
        <v>82</v>
      </c>
      <c r="B17" s="1">
        <f>SUM(B18:B20)</f>
        <v>0</v>
      </c>
      <c r="C17" s="1">
        <f t="shared" ref="C17:D17" si="3">SUM(C18:C20)</f>
        <v>0</v>
      </c>
      <c r="D17" s="1">
        <f t="shared" si="3"/>
        <v>0</v>
      </c>
    </row>
    <row r="18" spans="1:4" hidden="1">
      <c r="A18" s="348" t="s">
        <v>83</v>
      </c>
      <c r="B18" s="1">
        <f>'Crop Budget (Main)'!C36</f>
        <v>0</v>
      </c>
      <c r="C18" s="1">
        <f>'Crop Budget (Main)'!G36</f>
        <v>0</v>
      </c>
      <c r="D18" s="1">
        <f>'Crop Budget (Main)'!K36</f>
        <v>0</v>
      </c>
    </row>
    <row r="19" spans="1:4" hidden="1">
      <c r="A19" s="348" t="s">
        <v>84</v>
      </c>
      <c r="B19" s="1">
        <f>'Crop Budget (Main)'!C37</f>
        <v>0</v>
      </c>
      <c r="C19" s="1">
        <f>'Crop Budget (Main)'!G37</f>
        <v>0</v>
      </c>
      <c r="D19" s="1">
        <f>'Crop Budget (Main)'!K37</f>
        <v>0</v>
      </c>
    </row>
    <row r="20" spans="1:4" hidden="1">
      <c r="A20" s="348" t="s">
        <v>204</v>
      </c>
      <c r="B20" s="1">
        <f>'Crop Budget (Main)'!C38</f>
        <v>0</v>
      </c>
      <c r="C20" s="1">
        <f>'Crop Budget (Main)'!G38</f>
        <v>0</v>
      </c>
      <c r="D20" s="1">
        <f>'Crop Budget (Main)'!K38</f>
        <v>0</v>
      </c>
    </row>
    <row r="21" spans="1:4" ht="15.75">
      <c r="A21" s="2" t="s">
        <v>86</v>
      </c>
      <c r="B21" s="1">
        <f>'Crop Budget (Main)'!C39</f>
        <v>0</v>
      </c>
      <c r="C21" s="1">
        <f>'Crop Budget (Main)'!G39</f>
        <v>0</v>
      </c>
      <c r="D21" s="1">
        <f>'Crop Budget (Main)'!K39</f>
        <v>0</v>
      </c>
    </row>
    <row r="22" spans="1:4" ht="15.75">
      <c r="A22" s="2" t="s">
        <v>92</v>
      </c>
      <c r="B22" s="1">
        <f>'Crop Budget (Main)'!C40</f>
        <v>0</v>
      </c>
      <c r="C22" s="1">
        <f>'Crop Budget (Main)'!G40</f>
        <v>0</v>
      </c>
      <c r="D22" s="1">
        <f>'Crop Budget (Main)'!K40</f>
        <v>0</v>
      </c>
    </row>
    <row r="23" spans="1:4" ht="15.75">
      <c r="A23" s="2" t="s">
        <v>93</v>
      </c>
      <c r="B23" s="1">
        <f>'Crop Budget (Main)'!C41</f>
        <v>0</v>
      </c>
      <c r="C23" s="1">
        <f>'Crop Budget (Main)'!G41</f>
        <v>0</v>
      </c>
      <c r="D23" s="1">
        <f>'Crop Budget (Main)'!K41</f>
        <v>0</v>
      </c>
    </row>
    <row r="24" spans="1:4" ht="15.75">
      <c r="A24" s="2" t="s">
        <v>94</v>
      </c>
      <c r="B24" s="1">
        <f>SUM(B25:B26)</f>
        <v>0</v>
      </c>
      <c r="C24" s="1">
        <f t="shared" ref="C24:D24" si="4">SUM(C25:C26)</f>
        <v>0</v>
      </c>
      <c r="D24" s="1">
        <f t="shared" si="4"/>
        <v>0</v>
      </c>
    </row>
    <row r="25" spans="1:4" hidden="1">
      <c r="A25" s="348" t="s">
        <v>113</v>
      </c>
      <c r="B25" s="1">
        <f>'Crop Budget (Main)'!C43</f>
        <v>0</v>
      </c>
      <c r="C25" s="1">
        <f>'Crop Budget (Main)'!G43</f>
        <v>0</v>
      </c>
      <c r="D25" s="1">
        <f>'Crop Budget (Main)'!K43</f>
        <v>0</v>
      </c>
    </row>
    <row r="26" spans="1:4" hidden="1">
      <c r="A26" s="348" t="s">
        <v>114</v>
      </c>
      <c r="B26" s="1">
        <f>'Crop Budget (Main)'!C44</f>
        <v>0</v>
      </c>
      <c r="C26" s="1">
        <f>'Crop Budget (Main)'!G44</f>
        <v>0</v>
      </c>
      <c r="D26" s="1">
        <f>'Crop Budget (Main)'!K44</f>
        <v>0</v>
      </c>
    </row>
    <row r="27" spans="1:4" ht="15.75">
      <c r="A27" s="2" t="s">
        <v>303</v>
      </c>
      <c r="B27" s="1">
        <f>'Crop Budget (Main)'!C45</f>
        <v>0</v>
      </c>
      <c r="C27" s="1">
        <f>'Crop Budget (Main)'!G45</f>
        <v>0</v>
      </c>
      <c r="D27" s="1">
        <f>'Crop Budget (Main)'!K45</f>
        <v>0</v>
      </c>
    </row>
    <row r="28" spans="1:4" ht="15.75">
      <c r="A28" s="2" t="s">
        <v>301</v>
      </c>
      <c r="B28" s="1">
        <f>'Crop Budget (Main)'!C46</f>
        <v>0</v>
      </c>
      <c r="C28" s="1">
        <f>'Crop Budget (Main)'!G46</f>
        <v>0</v>
      </c>
      <c r="D28" s="1">
        <f>'Crop Budget (Main)'!K46</f>
        <v>0</v>
      </c>
    </row>
    <row r="29" spans="1:4" ht="15.75" hidden="1">
      <c r="A29" s="2" t="s">
        <v>304</v>
      </c>
      <c r="B29" s="1">
        <f>'Crop Budget (Main)'!C51</f>
        <v>0</v>
      </c>
      <c r="C29" s="1">
        <f>'Crop Budget (Main)'!G51</f>
        <v>0</v>
      </c>
      <c r="D29" s="1">
        <f>'Crop Budget (Main)'!K51</f>
        <v>0</v>
      </c>
    </row>
    <row r="30" spans="1:4" ht="15.75" hidden="1">
      <c r="A30" s="2" t="s">
        <v>382</v>
      </c>
      <c r="B30" s="1">
        <f>'Crop Budget (Main)'!C52</f>
        <v>0</v>
      </c>
      <c r="C30" s="1">
        <f>'Crop Budget (Main)'!G52</f>
        <v>0</v>
      </c>
      <c r="D30" s="1">
        <f>'Crop Budget (Main)'!K52</f>
        <v>0</v>
      </c>
    </row>
    <row r="31" spans="1:4" ht="15.75">
      <c r="A31" s="2" t="s">
        <v>250</v>
      </c>
      <c r="B31" s="1">
        <f>'Crop Budget (Main)'!C57</f>
        <v>0</v>
      </c>
      <c r="C31" s="1">
        <f>'Crop Budget (Main)'!G57</f>
        <v>0</v>
      </c>
      <c r="D31" s="1">
        <f>'Crop Budget (Main)'!K57</f>
        <v>0</v>
      </c>
    </row>
    <row r="32" spans="1:4" ht="15.75">
      <c r="A32" s="2" t="s">
        <v>310</v>
      </c>
      <c r="B32" s="1">
        <f>'Crop Budget (Main)'!C58</f>
        <v>0</v>
      </c>
      <c r="C32" s="1">
        <f>'Crop Budget (Main)'!G58</f>
        <v>0</v>
      </c>
      <c r="D32" s="1">
        <f>'Crop Budget (Main)'!K58</f>
        <v>0</v>
      </c>
    </row>
    <row r="33" spans="1:4" ht="15.75">
      <c r="A33" s="2" t="s">
        <v>208</v>
      </c>
      <c r="B33" s="1">
        <f>'Crop Budget (Main)'!C59</f>
        <v>0</v>
      </c>
      <c r="C33" s="1">
        <f>'Crop Budget (Main)'!G59</f>
        <v>0</v>
      </c>
      <c r="D33" s="1">
        <f>'Crop Budget (Main)'!K59</f>
        <v>0</v>
      </c>
    </row>
    <row r="34" spans="1:4" ht="15.75">
      <c r="A34" s="2" t="s">
        <v>385</v>
      </c>
      <c r="B34" s="1">
        <f>'Crop Budget (Main)'!C60</f>
        <v>0</v>
      </c>
      <c r="C34" s="1">
        <f>'Crop Budget (Main)'!G60</f>
        <v>0</v>
      </c>
      <c r="D34" s="1">
        <f>'Crop Budget (Main)'!K60</f>
        <v>0</v>
      </c>
    </row>
    <row r="35" spans="1:4" ht="15.75" hidden="1">
      <c r="A35" s="2" t="s">
        <v>383</v>
      </c>
      <c r="B35" s="1">
        <f>'Crop Budget (Main)'!C61</f>
        <v>0</v>
      </c>
      <c r="C35" s="1">
        <f>'Crop Budget (Main)'!G61</f>
        <v>0</v>
      </c>
      <c r="D35" s="1">
        <f>'Crop Budget (Main)'!K61</f>
        <v>0</v>
      </c>
    </row>
    <row r="36" spans="1:4" ht="15.75">
      <c r="A36" s="2" t="s">
        <v>387</v>
      </c>
      <c r="B36" s="1">
        <f>B35+B30</f>
        <v>0</v>
      </c>
      <c r="C36" s="1">
        <f>C35+C30</f>
        <v>0</v>
      </c>
      <c r="D36" s="1">
        <f>D35+D30</f>
        <v>0</v>
      </c>
    </row>
    <row r="37" spans="1:4" ht="15.75">
      <c r="A37" s="2" t="s">
        <v>266</v>
      </c>
      <c r="B37" s="1">
        <f>'Crop Budget (Main)'!C68</f>
        <v>0</v>
      </c>
      <c r="C37" s="1">
        <f>'Crop Budget (Main)'!G68</f>
        <v>0</v>
      </c>
      <c r="D37" s="1">
        <f>'Crop Budget (Main)'!K68</f>
        <v>0</v>
      </c>
    </row>
    <row r="38" spans="1:4" ht="15.75">
      <c r="A38" s="2" t="s">
        <v>224</v>
      </c>
      <c r="B38" s="1">
        <f>'Crop Budget (Main)'!C69</f>
        <v>0</v>
      </c>
      <c r="C38" s="1">
        <f>'Crop Budget (Main)'!G69</f>
        <v>0</v>
      </c>
      <c r="D38" s="1">
        <f>'Crop Budget (Main)'!K69</f>
        <v>0</v>
      </c>
    </row>
    <row r="39" spans="1:4" ht="15.75">
      <c r="A39" s="2" t="s">
        <v>386</v>
      </c>
      <c r="B39" s="1">
        <f>B40+B29</f>
        <v>0</v>
      </c>
      <c r="C39" s="1">
        <f>C40+C29</f>
        <v>0</v>
      </c>
      <c r="D39" s="1">
        <f>D40+D29</f>
        <v>0</v>
      </c>
    </row>
    <row r="40" spans="1:4" ht="15.75" hidden="1">
      <c r="A40" s="2" t="s">
        <v>305</v>
      </c>
      <c r="B40" s="1">
        <f>'Crop Budget (Main)'!C70</f>
        <v>0</v>
      </c>
      <c r="C40" s="1">
        <f>'Crop Budget (Main)'!G70</f>
        <v>0</v>
      </c>
      <c r="D40" s="1">
        <f>'Crop Budget (Main)'!K70</f>
        <v>0</v>
      </c>
    </row>
    <row r="41" spans="1:4" ht="15.75">
      <c r="A41" s="2" t="s">
        <v>267</v>
      </c>
      <c r="B41" s="1">
        <f>'Crop Budget (Main)'!C71</f>
        <v>0</v>
      </c>
      <c r="C41" s="1">
        <f>'Crop Budget (Main)'!G71</f>
        <v>0</v>
      </c>
      <c r="D41" s="1">
        <f>'Crop Budget (Main)'!K71</f>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6F94A-F5E5-4274-B5DF-49DC395271AC}">
  <sheetPr>
    <pageSetUpPr fitToPage="1"/>
  </sheetPr>
  <dimension ref="A2:U132"/>
  <sheetViews>
    <sheetView zoomScale="80" zoomScaleNormal="80" workbookViewId="0">
      <selection activeCell="J24" sqref="J24"/>
    </sheetView>
  </sheetViews>
  <sheetFormatPr defaultColWidth="9.140625" defaultRowHeight="18.75"/>
  <cols>
    <col min="1" max="1" width="12.28515625" style="145" bestFit="1" customWidth="1"/>
    <col min="2" max="2" width="25.5703125" style="145" bestFit="1" customWidth="1"/>
    <col min="3" max="3" width="9.140625" style="145"/>
    <col min="4" max="4" width="26.28515625" style="145" bestFit="1" customWidth="1"/>
    <col min="5" max="5" width="9.140625" style="145"/>
    <col min="6" max="6" width="23.85546875" style="145" bestFit="1" customWidth="1"/>
    <col min="7" max="7" width="9.140625" style="145" customWidth="1"/>
    <col min="8" max="8" width="4.7109375" style="145" customWidth="1"/>
    <col min="9" max="16384" width="9.140625" style="145"/>
  </cols>
  <sheetData>
    <row r="2" spans="1:21" ht="16.5" customHeight="1">
      <c r="A2" s="581"/>
      <c r="B2" s="897" t="s">
        <v>923</v>
      </c>
      <c r="C2" s="897"/>
      <c r="D2" s="897"/>
      <c r="E2" s="897"/>
      <c r="F2" s="897"/>
    </row>
    <row r="3" spans="1:21" ht="16.5" customHeight="1">
      <c r="A3" s="581"/>
      <c r="B3" s="942" t="s">
        <v>922</v>
      </c>
      <c r="C3" s="942"/>
      <c r="D3" s="942"/>
      <c r="E3" s="942"/>
      <c r="F3" s="942"/>
      <c r="J3" s="612"/>
      <c r="K3" s="612"/>
      <c r="L3" s="612"/>
      <c r="M3" s="612"/>
      <c r="N3" s="612"/>
      <c r="O3" s="612"/>
      <c r="P3" s="612"/>
      <c r="Q3" s="612"/>
      <c r="R3" s="612"/>
      <c r="S3" s="612"/>
      <c r="T3" s="612"/>
      <c r="U3" s="612"/>
    </row>
    <row r="4" spans="1:21">
      <c r="A4" s="582"/>
      <c r="B4" s="745" t="s">
        <v>128</v>
      </c>
      <c r="D4" s="745" t="s">
        <v>128</v>
      </c>
      <c r="J4" s="895" t="s">
        <v>930</v>
      </c>
      <c r="K4" s="895"/>
      <c r="L4" s="895"/>
      <c r="M4" s="895"/>
      <c r="N4" s="895"/>
      <c r="O4" s="895"/>
      <c r="P4" s="895"/>
      <c r="Q4" s="895"/>
      <c r="R4" s="895"/>
      <c r="S4" s="895"/>
      <c r="T4" s="895"/>
      <c r="U4" s="895"/>
    </row>
    <row r="5" spans="1:21">
      <c r="A5" s="582"/>
      <c r="B5" s="472" t="s">
        <v>899</v>
      </c>
      <c r="C5" s="12"/>
      <c r="D5" s="472" t="s">
        <v>900</v>
      </c>
      <c r="E5" s="12"/>
      <c r="F5" s="472" t="s">
        <v>898</v>
      </c>
      <c r="J5" s="612"/>
      <c r="K5" s="612"/>
      <c r="L5" s="612"/>
      <c r="M5" s="612"/>
      <c r="N5" s="612"/>
      <c r="O5" s="612"/>
      <c r="P5" s="612"/>
      <c r="Q5" s="612"/>
      <c r="R5" s="612"/>
      <c r="S5" s="612"/>
      <c r="T5" s="612"/>
      <c r="U5" s="612"/>
    </row>
    <row r="6" spans="1:21">
      <c r="A6" s="737"/>
      <c r="B6" s="373">
        <v>2.5</v>
      </c>
      <c r="C6" s="11" t="s">
        <v>901</v>
      </c>
      <c r="D6" s="373">
        <v>100</v>
      </c>
      <c r="E6" s="472" t="s">
        <v>186</v>
      </c>
      <c r="F6" s="739">
        <f>B6*D6</f>
        <v>250</v>
      </c>
      <c r="G6" s="199"/>
      <c r="J6" s="612"/>
      <c r="K6" s="612"/>
      <c r="L6" s="612"/>
      <c r="M6" s="612"/>
      <c r="N6" s="612"/>
      <c r="O6" s="899" t="s">
        <v>928</v>
      </c>
      <c r="P6" s="899"/>
      <c r="Q6" s="612"/>
      <c r="R6" s="612"/>
      <c r="S6" s="612"/>
      <c r="T6" s="612"/>
      <c r="U6" s="612"/>
    </row>
    <row r="7" spans="1:21" ht="19.5" thickBot="1">
      <c r="A7" s="738"/>
      <c r="B7" s="28"/>
      <c r="C7" s="28"/>
      <c r="D7" s="28"/>
      <c r="E7" s="28"/>
      <c r="F7" s="28"/>
      <c r="G7" s="199"/>
      <c r="J7" s="615"/>
      <c r="K7" s="612"/>
      <c r="L7" s="612"/>
      <c r="M7" s="612"/>
      <c r="N7" s="612"/>
      <c r="O7" s="900"/>
      <c r="P7" s="900"/>
      <c r="Q7" s="612"/>
      <c r="R7" s="612"/>
      <c r="S7" s="612"/>
      <c r="T7" s="612"/>
      <c r="U7" s="612"/>
    </row>
    <row r="8" spans="1:21" ht="19.5" thickBot="1">
      <c r="A8" s="738"/>
      <c r="B8" s="765" t="s">
        <v>906</v>
      </c>
      <c r="G8" s="199"/>
      <c r="J8" s="615"/>
      <c r="K8" s="752"/>
      <c r="L8" s="753"/>
      <c r="M8" s="774" t="s">
        <v>927</v>
      </c>
      <c r="N8" s="753"/>
      <c r="O8" s="766"/>
      <c r="P8" s="767"/>
      <c r="Q8" s="753"/>
      <c r="R8" s="774" t="s">
        <v>927</v>
      </c>
      <c r="S8" s="753"/>
      <c r="T8" s="754"/>
      <c r="U8" s="612"/>
    </row>
    <row r="9" spans="1:21" ht="18.75" customHeight="1">
      <c r="A9" s="738"/>
      <c r="B9" s="765" t="s">
        <v>907</v>
      </c>
      <c r="G9" s="199"/>
      <c r="J9" s="615"/>
      <c r="K9" s="755"/>
      <c r="L9" s="904" t="s">
        <v>926</v>
      </c>
      <c r="M9" s="760"/>
      <c r="N9" s="761"/>
      <c r="O9" s="768"/>
      <c r="P9" s="769"/>
      <c r="Q9" s="904" t="s">
        <v>926</v>
      </c>
      <c r="R9" s="760"/>
      <c r="S9" s="761"/>
      <c r="T9" s="756"/>
      <c r="U9" s="612"/>
    </row>
    <row r="10" spans="1:21">
      <c r="A10" s="737"/>
      <c r="B10" s="765" t="s">
        <v>908</v>
      </c>
      <c r="G10" s="199"/>
      <c r="J10" s="615"/>
      <c r="K10" s="775" t="s">
        <v>927</v>
      </c>
      <c r="L10" s="905"/>
      <c r="M10" s="763" t="s">
        <v>924</v>
      </c>
      <c r="N10" s="762"/>
      <c r="O10" s="778" t="s">
        <v>927</v>
      </c>
      <c r="P10" s="778" t="s">
        <v>927</v>
      </c>
      <c r="Q10" s="905"/>
      <c r="R10" s="763" t="s">
        <v>924</v>
      </c>
      <c r="S10" s="762"/>
      <c r="T10" s="777" t="s">
        <v>927</v>
      </c>
      <c r="U10" s="612"/>
    </row>
    <row r="11" spans="1:21" ht="19.5" thickBot="1">
      <c r="A11" s="199"/>
      <c r="G11" s="199"/>
      <c r="J11" s="615"/>
      <c r="K11" s="755"/>
      <c r="L11" s="906"/>
      <c r="M11" s="902" t="s">
        <v>925</v>
      </c>
      <c r="N11" s="903"/>
      <c r="O11" s="768"/>
      <c r="P11" s="769"/>
      <c r="Q11" s="906"/>
      <c r="R11" s="902" t="s">
        <v>925</v>
      </c>
      <c r="S11" s="903"/>
      <c r="T11" s="756"/>
      <c r="U11" s="612"/>
    </row>
    <row r="12" spans="1:21" ht="19.5" thickBot="1">
      <c r="A12" s="199"/>
      <c r="B12" s="942" t="s">
        <v>909</v>
      </c>
      <c r="C12" s="942"/>
      <c r="D12" s="942"/>
      <c r="E12" s="942"/>
      <c r="F12" s="942"/>
      <c r="G12" s="199"/>
      <c r="J12" s="896" t="s">
        <v>928</v>
      </c>
      <c r="K12" s="779"/>
      <c r="L12" s="780"/>
      <c r="M12" s="781" t="s">
        <v>927</v>
      </c>
      <c r="N12" s="780"/>
      <c r="O12" s="786"/>
      <c r="P12" s="787"/>
      <c r="Q12" s="780"/>
      <c r="R12" s="781" t="s">
        <v>927</v>
      </c>
      <c r="S12" s="780"/>
      <c r="T12" s="785"/>
      <c r="U12" s="898" t="s">
        <v>928</v>
      </c>
    </row>
    <row r="13" spans="1:21" ht="19.5" customHeight="1" thickBot="1">
      <c r="B13" s="745" t="s">
        <v>128</v>
      </c>
      <c r="D13" s="745" t="s">
        <v>128</v>
      </c>
      <c r="J13" s="896"/>
      <c r="K13" s="784"/>
      <c r="L13" s="782"/>
      <c r="M13" s="781" t="s">
        <v>927</v>
      </c>
      <c r="N13" s="782"/>
      <c r="O13" s="788"/>
      <c r="P13" s="789"/>
      <c r="Q13" s="782"/>
      <c r="R13" s="781" t="s">
        <v>927</v>
      </c>
      <c r="S13" s="782"/>
      <c r="T13" s="783"/>
      <c r="U13" s="898"/>
    </row>
    <row r="14" spans="1:21">
      <c r="B14" s="472" t="s">
        <v>910</v>
      </c>
      <c r="C14" s="12"/>
      <c r="D14" s="472" t="s">
        <v>911</v>
      </c>
      <c r="J14" s="612"/>
      <c r="K14" s="755"/>
      <c r="L14" s="904" t="s">
        <v>926</v>
      </c>
      <c r="M14" s="760"/>
      <c r="N14" s="761"/>
      <c r="O14" s="770"/>
      <c r="P14" s="769"/>
      <c r="Q14" s="904" t="s">
        <v>926</v>
      </c>
      <c r="R14" s="760"/>
      <c r="S14" s="761"/>
      <c r="T14" s="756"/>
      <c r="U14" s="612"/>
    </row>
    <row r="15" spans="1:21">
      <c r="B15" s="373">
        <v>9</v>
      </c>
      <c r="C15" s="11"/>
      <c r="D15" s="373">
        <v>9</v>
      </c>
      <c r="J15" s="612"/>
      <c r="K15" s="775" t="s">
        <v>927</v>
      </c>
      <c r="L15" s="905"/>
      <c r="M15" s="763" t="s">
        <v>924</v>
      </c>
      <c r="N15" s="762"/>
      <c r="O15" s="778" t="s">
        <v>927</v>
      </c>
      <c r="P15" s="778" t="s">
        <v>927</v>
      </c>
      <c r="Q15" s="905"/>
      <c r="R15" s="763" t="s">
        <v>924</v>
      </c>
      <c r="S15" s="762"/>
      <c r="T15" s="777" t="s">
        <v>927</v>
      </c>
      <c r="U15" s="612"/>
    </row>
    <row r="16" spans="1:21" ht="19.5" thickBot="1">
      <c r="J16" s="612"/>
      <c r="K16" s="755"/>
      <c r="L16" s="906"/>
      <c r="M16" s="902" t="s">
        <v>925</v>
      </c>
      <c r="N16" s="903"/>
      <c r="O16" s="771"/>
      <c r="P16" s="769"/>
      <c r="Q16" s="906"/>
      <c r="R16" s="902" t="s">
        <v>925</v>
      </c>
      <c r="S16" s="903"/>
      <c r="T16" s="756"/>
      <c r="U16" s="612"/>
    </row>
    <row r="17" spans="2:21" ht="18.75" customHeight="1" thickBot="1">
      <c r="B17" s="11" t="s">
        <v>912</v>
      </c>
      <c r="C17" s="11"/>
      <c r="D17" s="11" t="s">
        <v>913</v>
      </c>
      <c r="E17" s="12"/>
      <c r="F17" s="472" t="s">
        <v>914</v>
      </c>
      <c r="J17" s="612"/>
      <c r="K17" s="757"/>
      <c r="L17" s="764"/>
      <c r="M17" s="776" t="s">
        <v>927</v>
      </c>
      <c r="N17" s="764"/>
      <c r="O17" s="772"/>
      <c r="P17" s="773"/>
      <c r="Q17" s="758"/>
      <c r="R17" s="776" t="s">
        <v>927</v>
      </c>
      <c r="S17" s="758"/>
      <c r="T17" s="759"/>
      <c r="U17" s="612"/>
    </row>
    <row r="18" spans="2:21">
      <c r="B18" s="295">
        <f>(B15/12)+B6</f>
        <v>3.25</v>
      </c>
      <c r="C18" s="11" t="s">
        <v>901</v>
      </c>
      <c r="D18" s="295">
        <f>(D15/12)+D6</f>
        <v>100.75</v>
      </c>
      <c r="E18" s="472" t="s">
        <v>186</v>
      </c>
      <c r="F18" s="739">
        <f>B18*D18</f>
        <v>327.4375</v>
      </c>
      <c r="J18" s="612"/>
      <c r="K18" s="612"/>
      <c r="L18" s="612"/>
      <c r="M18" s="612"/>
      <c r="N18" s="612"/>
      <c r="O18" s="901" t="s">
        <v>928</v>
      </c>
      <c r="P18" s="901"/>
      <c r="Q18" s="612"/>
      <c r="R18" s="612"/>
      <c r="S18" s="612"/>
      <c r="T18" s="612"/>
      <c r="U18" s="612"/>
    </row>
    <row r="19" spans="2:21">
      <c r="J19" s="612"/>
      <c r="K19" s="612"/>
      <c r="L19" s="612"/>
      <c r="M19" s="612"/>
      <c r="N19" s="612"/>
      <c r="O19" s="899"/>
      <c r="P19" s="899"/>
      <c r="Q19" s="612"/>
      <c r="R19" s="612"/>
      <c r="S19" s="612"/>
      <c r="T19" s="612"/>
      <c r="U19" s="612"/>
    </row>
    <row r="20" spans="2:21" ht="18.75" customHeight="1">
      <c r="B20" s="739" t="s">
        <v>902</v>
      </c>
      <c r="C20" s="12"/>
      <c r="D20" s="739" t="s">
        <v>915</v>
      </c>
      <c r="E20" s="12"/>
      <c r="F20" s="11" t="s">
        <v>904</v>
      </c>
      <c r="J20" s="612"/>
      <c r="K20" s="612"/>
      <c r="L20" s="612"/>
      <c r="M20" s="612"/>
      <c r="N20" s="612"/>
      <c r="O20" s="612"/>
      <c r="P20" s="612"/>
      <c r="Q20" s="612"/>
      <c r="R20" s="612"/>
      <c r="S20" s="612"/>
      <c r="T20" s="612"/>
      <c r="U20" s="612"/>
    </row>
    <row r="21" spans="2:21">
      <c r="B21" s="741">
        <v>43560</v>
      </c>
      <c r="C21" s="740" t="s">
        <v>903</v>
      </c>
      <c r="D21" s="739">
        <f>F18</f>
        <v>327.4375</v>
      </c>
      <c r="E21" s="472" t="s">
        <v>186</v>
      </c>
      <c r="F21" s="477">
        <f>B21/D21</f>
        <v>133.0330215690017</v>
      </c>
      <c r="J21" s="612"/>
      <c r="K21" s="612" t="s">
        <v>931</v>
      </c>
      <c r="L21" s="612"/>
      <c r="M21" s="612"/>
      <c r="N21" s="612"/>
      <c r="O21" s="612"/>
      <c r="P21" s="612"/>
      <c r="Q21" s="612"/>
      <c r="R21" s="612"/>
      <c r="S21" s="612"/>
      <c r="T21" s="612"/>
      <c r="U21" s="612"/>
    </row>
    <row r="23" spans="2:21">
      <c r="B23" s="921" t="s">
        <v>932</v>
      </c>
      <c r="C23" s="921"/>
      <c r="D23" s="921"/>
      <c r="E23" s="921"/>
      <c r="F23" s="921"/>
    </row>
    <row r="24" spans="2:21" ht="18.75" customHeight="1">
      <c r="B24" s="921"/>
      <c r="C24" s="921"/>
      <c r="D24" s="921"/>
      <c r="E24" s="921"/>
      <c r="F24" s="921"/>
    </row>
    <row r="26" spans="2:21">
      <c r="B26" s="941" t="s">
        <v>917</v>
      </c>
      <c r="C26" s="941"/>
      <c r="D26" s="941"/>
      <c r="E26" s="941"/>
      <c r="F26" s="941"/>
    </row>
    <row r="27" spans="2:21" ht="18.75" customHeight="1">
      <c r="B27" s="745" t="s">
        <v>128</v>
      </c>
      <c r="D27" s="745"/>
    </row>
    <row r="28" spans="2:21" ht="18.75" customHeight="1">
      <c r="B28" s="11" t="s">
        <v>904</v>
      </c>
      <c r="C28" s="12"/>
      <c r="D28" s="11" t="s">
        <v>905</v>
      </c>
      <c r="E28" s="12"/>
      <c r="F28" s="11" t="s">
        <v>916</v>
      </c>
      <c r="J28" s="791"/>
    </row>
    <row r="29" spans="2:21">
      <c r="B29" s="373">
        <v>133.03</v>
      </c>
      <c r="C29" s="11" t="s">
        <v>901</v>
      </c>
      <c r="D29" s="742">
        <f>F6/B21</f>
        <v>5.7392102846648297E-3</v>
      </c>
      <c r="E29" s="472" t="s">
        <v>186</v>
      </c>
      <c r="F29" s="455">
        <f>B29*D29</f>
        <v>0.76348714416896235</v>
      </c>
      <c r="J29" s="791"/>
    </row>
    <row r="30" spans="2:21" ht="18.75" customHeight="1">
      <c r="B30" s="743"/>
      <c r="C30" s="743"/>
      <c r="D30" s="743"/>
      <c r="E30" s="743"/>
      <c r="F30" s="743"/>
    </row>
    <row r="31" spans="2:21">
      <c r="B31" s="765" t="s">
        <v>929</v>
      </c>
    </row>
    <row r="32" spans="2:21">
      <c r="B32" s="921" t="s">
        <v>918</v>
      </c>
      <c r="C32" s="921"/>
      <c r="D32" s="921"/>
      <c r="E32" s="921"/>
      <c r="F32" s="921"/>
    </row>
    <row r="33" spans="1:10" ht="18.75" customHeight="1">
      <c r="B33" s="921"/>
      <c r="C33" s="921"/>
      <c r="D33" s="921"/>
      <c r="E33" s="921"/>
      <c r="F33" s="921"/>
      <c r="H33" s="612"/>
      <c r="I33" s="612"/>
    </row>
    <row r="34" spans="1:10">
      <c r="B34" s="790"/>
      <c r="C34" s="790"/>
      <c r="D34" s="790"/>
      <c r="E34" s="790"/>
      <c r="F34" s="790"/>
    </row>
    <row r="35" spans="1:10">
      <c r="H35" s="798"/>
      <c r="I35" s="798"/>
    </row>
    <row r="38" spans="1:10">
      <c r="A38" s="345"/>
      <c r="J38" s="792"/>
    </row>
    <row r="39" spans="1:10">
      <c r="A39" s="345"/>
    </row>
    <row r="40" spans="1:10">
      <c r="A40" s="345"/>
    </row>
    <row r="41" spans="1:10">
      <c r="H41" s="793"/>
    </row>
    <row r="47" spans="1:10" ht="19.5" customHeight="1">
      <c r="I47" s="791"/>
    </row>
    <row r="48" spans="1:10">
      <c r="A48" s="345"/>
      <c r="I48" s="791"/>
    </row>
    <row r="49" spans="1:9">
      <c r="A49" s="345"/>
    </row>
    <row r="50" spans="1:9">
      <c r="A50" s="345"/>
      <c r="H50" s="793"/>
    </row>
    <row r="54" spans="1:9">
      <c r="A54" s="345"/>
    </row>
    <row r="55" spans="1:9">
      <c r="A55" s="345"/>
    </row>
    <row r="56" spans="1:9">
      <c r="A56" s="345"/>
    </row>
    <row r="57" spans="1:9" ht="18.75" customHeight="1">
      <c r="H57" s="792"/>
      <c r="I57" s="792"/>
    </row>
    <row r="58" spans="1:9" ht="18.75" customHeight="1">
      <c r="H58" s="792"/>
      <c r="I58" s="792"/>
    </row>
    <row r="59" spans="1:9">
      <c r="H59" s="792"/>
      <c r="I59" s="792"/>
    </row>
    <row r="60" spans="1:9">
      <c r="A60" s="345"/>
    </row>
    <row r="61" spans="1:9">
      <c r="A61" s="345"/>
    </row>
    <row r="62" spans="1:9">
      <c r="A62" s="345"/>
    </row>
    <row r="71" ht="16.5" customHeight="1"/>
    <row r="72" ht="16.5" hidden="1" customHeight="1"/>
    <row r="73" ht="16.5" hidden="1" customHeight="1"/>
    <row r="74" ht="16.5" hidden="1" customHeight="1"/>
    <row r="75" ht="16.5" hidden="1" customHeight="1"/>
    <row r="76" ht="16.5" hidden="1" customHeight="1"/>
    <row r="77" ht="16.5" hidden="1" customHeight="1"/>
    <row r="78" ht="16.5" hidden="1" customHeight="1"/>
    <row r="79" ht="16.5" hidden="1" customHeight="1"/>
    <row r="80" ht="16.5" hidden="1" customHeight="1"/>
    <row r="81" ht="16.5" customHeight="1"/>
    <row r="82" ht="16.5" customHeight="1"/>
    <row r="88" ht="18.75" customHeight="1"/>
    <row r="98" ht="16.5" customHeight="1"/>
    <row r="99" ht="16.5" customHeight="1"/>
    <row r="100" ht="16.5" customHeight="1"/>
    <row r="112" ht="7.35" hidden="1" customHeight="1"/>
    <row r="113" spans="3:7" ht="16.5" hidden="1" customHeight="1"/>
    <row r="114" spans="3:7" ht="16.5" hidden="1" customHeight="1"/>
    <row r="115" spans="3:7" ht="16.5" hidden="1" customHeight="1"/>
    <row r="116" spans="3:7" ht="16.5" customHeight="1"/>
    <row r="117" spans="3:7" ht="16.5" customHeight="1"/>
    <row r="118" spans="3:7" ht="16.5" customHeight="1"/>
    <row r="120" spans="3:7" ht="18" customHeight="1"/>
    <row r="123" spans="3:7">
      <c r="C123" s="257"/>
      <c r="D123" s="51"/>
      <c r="E123" s="51"/>
      <c r="F123" s="51"/>
      <c r="G123" s="51"/>
    </row>
    <row r="124" spans="3:7">
      <c r="C124" s="6"/>
      <c r="D124" s="51"/>
      <c r="E124" s="51"/>
      <c r="F124" s="51"/>
      <c r="G124" s="51"/>
    </row>
    <row r="125" spans="3:7">
      <c r="C125" s="6"/>
      <c r="D125" s="51"/>
      <c r="E125" s="51"/>
      <c r="F125" s="51"/>
      <c r="G125" s="51"/>
    </row>
    <row r="126" spans="3:7" hidden="1">
      <c r="C126" s="6"/>
      <c r="D126" s="51"/>
      <c r="E126" s="51"/>
      <c r="F126" s="51"/>
      <c r="G126" s="51"/>
    </row>
    <row r="127" spans="3:7" ht="18" hidden="1" customHeight="1">
      <c r="C127" s="6"/>
      <c r="D127" s="51"/>
      <c r="E127" s="51"/>
      <c r="F127" s="51"/>
      <c r="G127" s="51"/>
    </row>
    <row r="128" spans="3:7" hidden="1">
      <c r="C128" s="6"/>
      <c r="D128" s="51"/>
      <c r="E128" s="51"/>
      <c r="F128" s="51"/>
      <c r="G128" s="51"/>
    </row>
    <row r="129" spans="3:7" hidden="1">
      <c r="C129" s="6"/>
      <c r="D129" s="51"/>
      <c r="E129" s="51"/>
      <c r="F129" s="51"/>
      <c r="G129" s="51"/>
    </row>
    <row r="130" spans="3:7" hidden="1">
      <c r="C130" s="6"/>
      <c r="D130" s="51"/>
      <c r="E130" s="51"/>
      <c r="F130" s="51"/>
      <c r="G130" s="51"/>
    </row>
    <row r="131" spans="3:7" hidden="1">
      <c r="C131" s="6"/>
      <c r="D131" s="51"/>
      <c r="E131" s="51"/>
      <c r="F131" s="51"/>
      <c r="G131" s="51"/>
    </row>
    <row r="132" spans="3:7" hidden="1"/>
  </sheetData>
  <dataConsolidate/>
  <mergeCells count="19">
    <mergeCell ref="B32:F33"/>
    <mergeCell ref="B23:F24"/>
    <mergeCell ref="J12:J13"/>
    <mergeCell ref="U12:U13"/>
    <mergeCell ref="L14:L16"/>
    <mergeCell ref="Q14:Q16"/>
    <mergeCell ref="B26:F26"/>
    <mergeCell ref="M16:N16"/>
    <mergeCell ref="R16:S16"/>
    <mergeCell ref="O18:P19"/>
    <mergeCell ref="B2:F2"/>
    <mergeCell ref="B3:F3"/>
    <mergeCell ref="B12:F12"/>
    <mergeCell ref="O6:P7"/>
    <mergeCell ref="J4:U4"/>
    <mergeCell ref="L9:L11"/>
    <mergeCell ref="Q9:Q11"/>
    <mergeCell ref="M11:N11"/>
    <mergeCell ref="R11:S11"/>
  </mergeCells>
  <printOptions horizontalCentered="1"/>
  <pageMargins left="0.25" right="0.25" top="0.25" bottom="0.25" header="0" footer="0"/>
  <pageSetup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J41"/>
  <sheetViews>
    <sheetView zoomScale="80" zoomScaleNormal="80" workbookViewId="0">
      <selection activeCell="L27" sqref="L27"/>
    </sheetView>
  </sheetViews>
  <sheetFormatPr defaultColWidth="9.140625" defaultRowHeight="15"/>
  <cols>
    <col min="1" max="1" width="24.28515625" style="6" bestFit="1" customWidth="1"/>
    <col min="2" max="2" width="13.42578125" style="6" bestFit="1" customWidth="1"/>
    <col min="3" max="3" width="4.7109375" style="6" customWidth="1"/>
    <col min="4" max="4" width="17" style="6" customWidth="1"/>
    <col min="5" max="5" width="10.42578125" style="9" hidden="1" customWidth="1"/>
    <col min="6" max="6" width="10.42578125" style="9" customWidth="1"/>
    <col min="7" max="7" width="10.42578125" style="6" customWidth="1"/>
    <col min="8" max="8" width="4.7109375" style="6" customWidth="1"/>
    <col min="9" max="9" width="20" style="6" bestFit="1" customWidth="1"/>
    <col min="10" max="10" width="15.42578125" style="9" hidden="1" customWidth="1"/>
    <col min="11" max="11" width="10.42578125" style="9" customWidth="1"/>
    <col min="12" max="12" width="10.42578125" style="6" customWidth="1"/>
    <col min="13" max="13" width="4.7109375" style="6" customWidth="1"/>
    <col min="14" max="14" width="18.140625" style="6" bestFit="1" customWidth="1"/>
    <col min="15" max="15" width="13.42578125" style="10" hidden="1" customWidth="1"/>
    <col min="16" max="16" width="11.85546875" style="10" customWidth="1"/>
    <col min="17" max="17" width="10.42578125" style="10" customWidth="1"/>
    <col min="18" max="18" width="11" style="6" bestFit="1" customWidth="1"/>
    <col min="19" max="16384" width="9.140625" style="6"/>
  </cols>
  <sheetData>
    <row r="1" spans="1:18" ht="15" customHeight="1">
      <c r="A1" s="925" t="s">
        <v>225</v>
      </c>
      <c r="B1" s="926"/>
      <c r="C1" s="926"/>
      <c r="D1" s="926"/>
      <c r="E1" s="926"/>
      <c r="F1" s="926"/>
      <c r="G1" s="926"/>
      <c r="H1" s="926"/>
      <c r="I1" s="926"/>
      <c r="J1" s="926"/>
      <c r="K1" s="926"/>
      <c r="L1" s="926"/>
      <c r="M1" s="926"/>
      <c r="N1" s="926"/>
      <c r="O1" s="926"/>
      <c r="P1" s="926"/>
      <c r="Q1" s="926"/>
      <c r="R1" s="926"/>
    </row>
    <row r="2" spans="1:18" ht="15.75" customHeight="1">
      <c r="A2" s="925"/>
      <c r="B2" s="926"/>
      <c r="C2" s="926"/>
      <c r="D2" s="926"/>
      <c r="E2" s="926"/>
      <c r="F2" s="926"/>
      <c r="G2" s="926"/>
      <c r="H2" s="926"/>
      <c r="I2" s="926"/>
      <c r="J2" s="926"/>
      <c r="K2" s="926"/>
      <c r="L2" s="926"/>
      <c r="M2" s="926"/>
      <c r="N2" s="926"/>
      <c r="O2" s="926"/>
      <c r="P2" s="926"/>
      <c r="Q2" s="926"/>
      <c r="R2" s="926"/>
    </row>
    <row r="3" spans="1:18" ht="15.75" thickBot="1">
      <c r="A3" s="925"/>
      <c r="B3" s="926"/>
      <c r="C3" s="926"/>
      <c r="D3" s="926"/>
      <c r="E3" s="926"/>
      <c r="F3" s="926"/>
      <c r="G3" s="926"/>
      <c r="H3" s="926"/>
      <c r="I3" s="926"/>
      <c r="J3" s="926"/>
      <c r="K3" s="926"/>
      <c r="L3" s="926"/>
      <c r="M3" s="926"/>
      <c r="N3" s="926"/>
      <c r="O3" s="926"/>
      <c r="P3" s="926"/>
      <c r="Q3" s="926"/>
      <c r="R3" s="926"/>
    </row>
    <row r="4" spans="1:18" ht="18.75" customHeight="1" thickBot="1">
      <c r="A4" s="271" t="s">
        <v>412</v>
      </c>
      <c r="B4" s="272" t="s">
        <v>69</v>
      </c>
      <c r="C4" s="272"/>
      <c r="D4" s="272" t="str">
        <f>'Crop Budget (Main)'!C5</f>
        <v>Select Crop</v>
      </c>
      <c r="E4" s="273" t="s">
        <v>205</v>
      </c>
      <c r="F4" s="273"/>
      <c r="G4" s="272" t="s">
        <v>118</v>
      </c>
      <c r="H4" s="272"/>
      <c r="I4" s="272" t="str">
        <f>'Crop Budget (Main)'!G5</f>
        <v>Select Crop</v>
      </c>
      <c r="J4" s="273" t="s">
        <v>206</v>
      </c>
      <c r="K4" s="273"/>
      <c r="L4" s="272" t="s">
        <v>118</v>
      </c>
      <c r="M4" s="272"/>
      <c r="N4" s="272" t="str">
        <f>'Crop Budget (Main)'!K5</f>
        <v>Select Crop</v>
      </c>
      <c r="O4" s="273" t="s">
        <v>207</v>
      </c>
      <c r="P4" s="947"/>
      <c r="Q4" s="947"/>
      <c r="R4" s="274" t="s">
        <v>118</v>
      </c>
    </row>
    <row r="5" spans="1:18" ht="18.75" customHeight="1">
      <c r="A5" s="18"/>
      <c r="B5" s="19"/>
      <c r="C5" s="19"/>
      <c r="D5" s="226" t="s">
        <v>128</v>
      </c>
      <c r="E5" s="224"/>
      <c r="F5" s="20"/>
      <c r="G5" s="21"/>
      <c r="H5" s="227"/>
      <c r="I5" s="226" t="s">
        <v>128</v>
      </c>
      <c r="J5" s="224"/>
      <c r="K5" s="20"/>
      <c r="L5" s="21"/>
      <c r="M5" s="227"/>
      <c r="N5" s="226" t="s">
        <v>128</v>
      </c>
      <c r="O5" s="269"/>
      <c r="P5" s="945"/>
      <c r="Q5" s="946"/>
      <c r="R5" s="270"/>
    </row>
    <row r="6" spans="1:18" ht="18.75" customHeight="1">
      <c r="A6" s="18" t="s">
        <v>226</v>
      </c>
      <c r="B6" s="19" t="s">
        <v>77</v>
      </c>
      <c r="C6" s="19"/>
      <c r="D6" s="356">
        <v>0</v>
      </c>
      <c r="E6" s="138">
        <f>'Crop Budget (Main)'!$C$10</f>
        <v>1</v>
      </c>
      <c r="F6" s="20"/>
      <c r="G6" s="21">
        <f>D6/E6</f>
        <v>0</v>
      </c>
      <c r="H6" s="227"/>
      <c r="I6" s="356">
        <v>0</v>
      </c>
      <c r="J6" s="138">
        <f>'Crop Budget (Main)'!$G$10</f>
        <v>1</v>
      </c>
      <c r="K6" s="20"/>
      <c r="L6" s="21">
        <f>I6/J6</f>
        <v>0</v>
      </c>
      <c r="M6" s="227"/>
      <c r="N6" s="356">
        <v>0</v>
      </c>
      <c r="O6" s="138">
        <f>'Crop Budget (Main)'!$K$10</f>
        <v>1</v>
      </c>
      <c r="P6" s="943"/>
      <c r="Q6" s="944"/>
      <c r="R6" s="22">
        <f>N6/O6</f>
        <v>0</v>
      </c>
    </row>
    <row r="7" spans="1:18" ht="18.75" customHeight="1">
      <c r="A7" s="18" t="s">
        <v>85</v>
      </c>
      <c r="B7" s="19" t="s">
        <v>77</v>
      </c>
      <c r="C7" s="19"/>
      <c r="D7" s="356">
        <v>0</v>
      </c>
      <c r="E7" s="138">
        <f>'Crop Budget (Main)'!$C$10</f>
        <v>1</v>
      </c>
      <c r="F7" s="20"/>
      <c r="G7" s="21">
        <f>D7/E7</f>
        <v>0</v>
      </c>
      <c r="H7" s="227"/>
      <c r="I7" s="356">
        <v>0</v>
      </c>
      <c r="J7" s="138">
        <f>'Crop Budget (Main)'!$G$10</f>
        <v>1</v>
      </c>
      <c r="K7" s="20"/>
      <c r="L7" s="21">
        <f>I7/J7</f>
        <v>0</v>
      </c>
      <c r="M7" s="227"/>
      <c r="N7" s="356">
        <v>0</v>
      </c>
      <c r="O7" s="138">
        <f>'Crop Budget (Main)'!$K$10</f>
        <v>1</v>
      </c>
      <c r="P7" s="943"/>
      <c r="Q7" s="944"/>
      <c r="R7" s="22">
        <f>N7/O7</f>
        <v>0</v>
      </c>
    </row>
    <row r="8" spans="1:18" ht="18.75" customHeight="1">
      <c r="A8" s="18" t="s">
        <v>247</v>
      </c>
      <c r="B8" s="19" t="s">
        <v>77</v>
      </c>
      <c r="C8" s="19"/>
      <c r="D8" s="356">
        <v>0</v>
      </c>
      <c r="E8" s="138">
        <f>'Crop Budget (Main)'!$C$10</f>
        <v>1</v>
      </c>
      <c r="F8" s="20"/>
      <c r="G8" s="21">
        <f t="shared" ref="G8:G32" si="0">D8/E8</f>
        <v>0</v>
      </c>
      <c r="H8" s="227"/>
      <c r="I8" s="356">
        <v>0</v>
      </c>
      <c r="J8" s="138">
        <f>'Crop Budget (Main)'!$G$10</f>
        <v>1</v>
      </c>
      <c r="K8" s="20"/>
      <c r="L8" s="21">
        <f t="shared" ref="L8:L32" si="1">I8/J8</f>
        <v>0</v>
      </c>
      <c r="M8" s="227"/>
      <c r="N8" s="356">
        <v>0</v>
      </c>
      <c r="O8" s="138">
        <f>'Crop Budget (Main)'!$K$10</f>
        <v>1</v>
      </c>
      <c r="P8" s="943"/>
      <c r="Q8" s="944"/>
      <c r="R8" s="22">
        <f t="shared" ref="R8:R32" si="2">N8/O8</f>
        <v>0</v>
      </c>
    </row>
    <row r="9" spans="1:18" ht="18.75" customHeight="1">
      <c r="A9" s="18" t="s">
        <v>91</v>
      </c>
      <c r="B9" s="19" t="s">
        <v>77</v>
      </c>
      <c r="C9" s="19"/>
      <c r="D9" s="356">
        <v>0</v>
      </c>
      <c r="E9" s="138">
        <f>'Crop Budget (Main)'!$C$10</f>
        <v>1</v>
      </c>
      <c r="F9" s="20"/>
      <c r="G9" s="21">
        <f t="shared" si="0"/>
        <v>0</v>
      </c>
      <c r="H9" s="227"/>
      <c r="I9" s="356">
        <v>0</v>
      </c>
      <c r="J9" s="138">
        <f>'Crop Budget (Main)'!$G$10</f>
        <v>1</v>
      </c>
      <c r="K9" s="20"/>
      <c r="L9" s="21">
        <f t="shared" si="1"/>
        <v>0</v>
      </c>
      <c r="M9" s="227"/>
      <c r="N9" s="356">
        <v>0</v>
      </c>
      <c r="O9" s="138">
        <f>'Crop Budget (Main)'!$K$10</f>
        <v>1</v>
      </c>
      <c r="P9" s="943"/>
      <c r="Q9" s="944"/>
      <c r="R9" s="22">
        <f t="shared" si="2"/>
        <v>0</v>
      </c>
    </row>
    <row r="10" spans="1:18" ht="15.75">
      <c r="A10" s="18" t="s">
        <v>87</v>
      </c>
      <c r="B10" s="19"/>
      <c r="C10" s="19"/>
      <c r="D10" s="354"/>
      <c r="E10" s="138"/>
      <c r="F10" s="20"/>
      <c r="G10" s="21"/>
      <c r="H10" s="227"/>
      <c r="I10" s="354"/>
      <c r="J10" s="138"/>
      <c r="K10" s="20"/>
      <c r="L10" s="21"/>
      <c r="M10" s="227"/>
      <c r="N10" s="354"/>
      <c r="O10" s="138"/>
      <c r="P10" s="943"/>
      <c r="Q10" s="944"/>
      <c r="R10" s="22"/>
    </row>
    <row r="11" spans="1:18" ht="15.75">
      <c r="A11" s="23" t="s">
        <v>88</v>
      </c>
      <c r="B11" s="19" t="s">
        <v>77</v>
      </c>
      <c r="C11" s="19"/>
      <c r="D11" s="356">
        <v>0</v>
      </c>
      <c r="E11" s="138">
        <f>'Crop Budget (Main)'!$C$10</f>
        <v>1</v>
      </c>
      <c r="F11" s="20"/>
      <c r="G11" s="21">
        <f t="shared" si="0"/>
        <v>0</v>
      </c>
      <c r="H11" s="227"/>
      <c r="I11" s="356">
        <v>0</v>
      </c>
      <c r="J11" s="138">
        <f>'Crop Budget (Main)'!$G$10</f>
        <v>1</v>
      </c>
      <c r="K11" s="20"/>
      <c r="L11" s="21">
        <f t="shared" si="1"/>
        <v>0</v>
      </c>
      <c r="M11" s="227"/>
      <c r="N11" s="356">
        <v>0</v>
      </c>
      <c r="O11" s="138">
        <f>'Crop Budget (Main)'!$K$10</f>
        <v>1</v>
      </c>
      <c r="P11" s="943"/>
      <c r="Q11" s="944"/>
      <c r="R11" s="22">
        <f t="shared" si="2"/>
        <v>0</v>
      </c>
    </row>
    <row r="12" spans="1:18" ht="15.75">
      <c r="A12" s="23" t="s">
        <v>89</v>
      </c>
      <c r="B12" s="19" t="s">
        <v>77</v>
      </c>
      <c r="C12" s="19"/>
      <c r="D12" s="356">
        <v>0</v>
      </c>
      <c r="E12" s="138">
        <f>'Crop Budget (Main)'!$C$10</f>
        <v>1</v>
      </c>
      <c r="F12" s="20"/>
      <c r="G12" s="21">
        <f t="shared" si="0"/>
        <v>0</v>
      </c>
      <c r="H12" s="227"/>
      <c r="I12" s="356">
        <v>0</v>
      </c>
      <c r="J12" s="138">
        <f>'Crop Budget (Main)'!$G$10</f>
        <v>1</v>
      </c>
      <c r="K12" s="20"/>
      <c r="L12" s="21">
        <f t="shared" si="1"/>
        <v>0</v>
      </c>
      <c r="M12" s="227"/>
      <c r="N12" s="356">
        <v>0</v>
      </c>
      <c r="O12" s="138">
        <f>'Crop Budget (Main)'!$K$10</f>
        <v>1</v>
      </c>
      <c r="P12" s="943"/>
      <c r="Q12" s="944"/>
      <c r="R12" s="22">
        <f t="shared" si="2"/>
        <v>0</v>
      </c>
    </row>
    <row r="13" spans="1:18" ht="15.75">
      <c r="A13" s="18" t="s">
        <v>90</v>
      </c>
      <c r="D13" s="354"/>
      <c r="E13" s="138"/>
      <c r="F13" s="20"/>
      <c r="G13" s="21"/>
      <c r="H13" s="227"/>
      <c r="I13" s="354"/>
      <c r="J13" s="138"/>
      <c r="K13" s="20"/>
      <c r="L13" s="21"/>
      <c r="M13" s="227"/>
      <c r="N13" s="354"/>
      <c r="O13" s="138"/>
      <c r="P13" s="943"/>
      <c r="Q13" s="944"/>
      <c r="R13" s="22"/>
    </row>
    <row r="14" spans="1:18" ht="18.75" customHeight="1">
      <c r="A14" s="128" t="s">
        <v>248</v>
      </c>
      <c r="B14" s="19" t="s">
        <v>77</v>
      </c>
      <c r="C14" s="19"/>
      <c r="D14" s="356">
        <v>0</v>
      </c>
      <c r="E14" s="138">
        <f>'Crop Budget (Main)'!$C$10</f>
        <v>1</v>
      </c>
      <c r="F14" s="20"/>
      <c r="G14" s="21">
        <f t="shared" si="0"/>
        <v>0</v>
      </c>
      <c r="H14" s="227"/>
      <c r="I14" s="356">
        <v>0</v>
      </c>
      <c r="J14" s="138">
        <f>'Crop Budget (Main)'!$G$10</f>
        <v>1</v>
      </c>
      <c r="K14" s="20"/>
      <c r="L14" s="21">
        <f t="shared" si="1"/>
        <v>0</v>
      </c>
      <c r="M14" s="227"/>
      <c r="N14" s="356">
        <v>0</v>
      </c>
      <c r="O14" s="138">
        <f>'Crop Budget (Main)'!$K$10</f>
        <v>1</v>
      </c>
      <c r="P14" s="943"/>
      <c r="Q14" s="944"/>
      <c r="R14" s="22">
        <f t="shared" si="2"/>
        <v>0</v>
      </c>
    </row>
    <row r="15" spans="1:18" ht="18.75" customHeight="1">
      <c r="A15" s="128" t="s">
        <v>249</v>
      </c>
      <c r="B15" s="19" t="s">
        <v>77</v>
      </c>
      <c r="D15" s="356">
        <v>0</v>
      </c>
      <c r="E15" s="138">
        <f>'Crop Budget (Main)'!$C$10</f>
        <v>1</v>
      </c>
      <c r="F15" s="20"/>
      <c r="G15" s="21">
        <f t="shared" si="0"/>
        <v>0</v>
      </c>
      <c r="H15" s="227"/>
      <c r="I15" s="356">
        <v>0</v>
      </c>
      <c r="J15" s="138">
        <f>'Crop Budget (Main)'!$G$10</f>
        <v>1</v>
      </c>
      <c r="K15" s="20"/>
      <c r="L15" s="21">
        <f t="shared" si="1"/>
        <v>0</v>
      </c>
      <c r="M15" s="227"/>
      <c r="N15" s="356">
        <v>0</v>
      </c>
      <c r="O15" s="138">
        <f>'Crop Budget (Main)'!$K$10</f>
        <v>1</v>
      </c>
      <c r="P15" s="943"/>
      <c r="Q15" s="944"/>
      <c r="R15" s="22">
        <f t="shared" si="2"/>
        <v>0</v>
      </c>
    </row>
    <row r="16" spans="1:18" ht="18.75" customHeight="1">
      <c r="A16" s="18" t="s">
        <v>82</v>
      </c>
      <c r="B16" s="19"/>
      <c r="C16" s="19"/>
      <c r="D16" s="354"/>
      <c r="E16" s="138"/>
      <c r="F16" s="20"/>
      <c r="G16" s="21"/>
      <c r="H16" s="227"/>
      <c r="I16" s="354"/>
      <c r="J16" s="138"/>
      <c r="K16" s="20"/>
      <c r="L16" s="21"/>
      <c r="M16" s="227"/>
      <c r="N16" s="354"/>
      <c r="O16" s="138"/>
      <c r="P16" s="943"/>
      <c r="Q16" s="944"/>
      <c r="R16" s="22"/>
    </row>
    <row r="17" spans="1:18" ht="18.75" customHeight="1">
      <c r="A17" s="23" t="s">
        <v>83</v>
      </c>
      <c r="B17" s="19" t="s">
        <v>77</v>
      </c>
      <c r="C17" s="19"/>
      <c r="D17" s="356">
        <v>0</v>
      </c>
      <c r="E17" s="138">
        <f>'Crop Budget (Main)'!$C$10</f>
        <v>1</v>
      </c>
      <c r="F17" s="20"/>
      <c r="G17" s="21">
        <f t="shared" si="0"/>
        <v>0</v>
      </c>
      <c r="H17" s="227"/>
      <c r="I17" s="356">
        <v>0</v>
      </c>
      <c r="J17" s="138">
        <f>'Crop Budget (Main)'!$G$10</f>
        <v>1</v>
      </c>
      <c r="K17" s="20"/>
      <c r="L17" s="21">
        <f t="shared" si="1"/>
        <v>0</v>
      </c>
      <c r="M17" s="227"/>
      <c r="N17" s="356">
        <v>0</v>
      </c>
      <c r="O17" s="138">
        <f>'Crop Budget (Main)'!$K$10</f>
        <v>1</v>
      </c>
      <c r="P17" s="943"/>
      <c r="Q17" s="944"/>
      <c r="R17" s="22">
        <f t="shared" si="2"/>
        <v>0</v>
      </c>
    </row>
    <row r="18" spans="1:18" ht="18.75" customHeight="1">
      <c r="A18" s="23" t="s">
        <v>84</v>
      </c>
      <c r="B18" s="19" t="s">
        <v>77</v>
      </c>
      <c r="C18" s="19"/>
      <c r="D18" s="356">
        <v>0</v>
      </c>
      <c r="E18" s="138">
        <f>'Crop Budget (Main)'!$C$10</f>
        <v>1</v>
      </c>
      <c r="F18" s="20"/>
      <c r="G18" s="21">
        <f t="shared" si="0"/>
        <v>0</v>
      </c>
      <c r="H18" s="227"/>
      <c r="I18" s="356">
        <v>0</v>
      </c>
      <c r="J18" s="138">
        <f>'Crop Budget (Main)'!$G$10</f>
        <v>1</v>
      </c>
      <c r="K18" s="20"/>
      <c r="L18" s="21">
        <f t="shared" si="1"/>
        <v>0</v>
      </c>
      <c r="M18" s="227"/>
      <c r="N18" s="356">
        <v>0</v>
      </c>
      <c r="O18" s="138">
        <f>'Crop Budget (Main)'!$K$10</f>
        <v>1</v>
      </c>
      <c r="P18" s="943"/>
      <c r="Q18" s="944"/>
      <c r="R18" s="22">
        <f t="shared" si="2"/>
        <v>0</v>
      </c>
    </row>
    <row r="19" spans="1:18" ht="18.75" customHeight="1">
      <c r="A19" s="23" t="s">
        <v>204</v>
      </c>
      <c r="B19" s="19" t="s">
        <v>77</v>
      </c>
      <c r="C19" s="19"/>
      <c r="D19" s="356">
        <v>0</v>
      </c>
      <c r="E19" s="138">
        <f>'Crop Budget (Main)'!$C$10</f>
        <v>1</v>
      </c>
      <c r="F19" s="20"/>
      <c r="G19" s="21">
        <f t="shared" si="0"/>
        <v>0</v>
      </c>
      <c r="H19" s="227"/>
      <c r="I19" s="356">
        <v>0</v>
      </c>
      <c r="J19" s="138">
        <f>'Crop Budget (Main)'!$G$10</f>
        <v>1</v>
      </c>
      <c r="K19" s="20"/>
      <c r="L19" s="21">
        <f t="shared" si="1"/>
        <v>0</v>
      </c>
      <c r="M19" s="227"/>
      <c r="N19" s="356">
        <v>0</v>
      </c>
      <c r="O19" s="138">
        <f>'Crop Budget (Main)'!$K$10</f>
        <v>1</v>
      </c>
      <c r="P19" s="943"/>
      <c r="Q19" s="944"/>
      <c r="R19" s="22">
        <f t="shared" si="2"/>
        <v>0</v>
      </c>
    </row>
    <row r="20" spans="1:18" ht="18.75" customHeight="1">
      <c r="A20" s="18" t="s">
        <v>86</v>
      </c>
      <c r="B20" s="19" t="s">
        <v>77</v>
      </c>
      <c r="C20" s="19"/>
      <c r="D20" s="356">
        <v>0</v>
      </c>
      <c r="E20" s="138">
        <f>'Crop Budget (Main)'!$C$10</f>
        <v>1</v>
      </c>
      <c r="F20" s="20"/>
      <c r="G20" s="21">
        <f>D20/E20</f>
        <v>0</v>
      </c>
      <c r="H20" s="227"/>
      <c r="I20" s="356">
        <v>0</v>
      </c>
      <c r="J20" s="138">
        <f>'Crop Budget (Main)'!$G$10</f>
        <v>1</v>
      </c>
      <c r="K20" s="20"/>
      <c r="L20" s="21">
        <f t="shared" si="1"/>
        <v>0</v>
      </c>
      <c r="M20" s="227"/>
      <c r="N20" s="356">
        <v>0</v>
      </c>
      <c r="O20" s="138">
        <f>'Crop Budget (Main)'!$K$10</f>
        <v>1</v>
      </c>
      <c r="P20" s="943"/>
      <c r="Q20" s="944"/>
      <c r="R20" s="22">
        <f t="shared" si="2"/>
        <v>0</v>
      </c>
    </row>
    <row r="21" spans="1:18" ht="18.75" customHeight="1">
      <c r="A21" s="18" t="s">
        <v>92</v>
      </c>
      <c r="B21" s="19" t="s">
        <v>77</v>
      </c>
      <c r="C21" s="19"/>
      <c r="D21" s="356">
        <v>0</v>
      </c>
      <c r="E21" s="138">
        <f>'Crop Budget (Main)'!$C$10</f>
        <v>1</v>
      </c>
      <c r="F21" s="20"/>
      <c r="G21" s="21">
        <f t="shared" si="0"/>
        <v>0</v>
      </c>
      <c r="H21" s="227"/>
      <c r="I21" s="356">
        <v>0</v>
      </c>
      <c r="J21" s="138">
        <f>'Crop Budget (Main)'!$G$10</f>
        <v>1</v>
      </c>
      <c r="K21" s="20"/>
      <c r="L21" s="21">
        <f t="shared" si="1"/>
        <v>0</v>
      </c>
      <c r="M21" s="227"/>
      <c r="N21" s="356">
        <v>0</v>
      </c>
      <c r="O21" s="138">
        <f>'Crop Budget (Main)'!$K$10</f>
        <v>1</v>
      </c>
      <c r="P21" s="943"/>
      <c r="Q21" s="944"/>
      <c r="R21" s="22">
        <f t="shared" si="2"/>
        <v>0</v>
      </c>
    </row>
    <row r="22" spans="1:18" ht="18.75" customHeight="1">
      <c r="A22" s="18" t="s">
        <v>93</v>
      </c>
      <c r="B22" s="19" t="s">
        <v>77</v>
      </c>
      <c r="C22" s="19"/>
      <c r="D22" s="356">
        <v>0</v>
      </c>
      <c r="E22" s="138">
        <f>'Crop Budget (Main)'!$C$10</f>
        <v>1</v>
      </c>
      <c r="F22" s="20"/>
      <c r="G22" s="21">
        <f t="shared" si="0"/>
        <v>0</v>
      </c>
      <c r="H22" s="227"/>
      <c r="I22" s="356">
        <v>0</v>
      </c>
      <c r="J22" s="138">
        <f>'Crop Budget (Main)'!$G$10</f>
        <v>1</v>
      </c>
      <c r="K22" s="20"/>
      <c r="L22" s="21">
        <f t="shared" si="1"/>
        <v>0</v>
      </c>
      <c r="M22" s="227"/>
      <c r="N22" s="356">
        <v>0</v>
      </c>
      <c r="O22" s="138">
        <f>'Crop Budget (Main)'!$K$10</f>
        <v>1</v>
      </c>
      <c r="P22" s="943"/>
      <c r="Q22" s="944"/>
      <c r="R22" s="22">
        <f t="shared" si="2"/>
        <v>0</v>
      </c>
    </row>
    <row r="23" spans="1:18" ht="18.75" customHeight="1">
      <c r="A23" s="18" t="s">
        <v>94</v>
      </c>
      <c r="B23" s="19"/>
      <c r="C23" s="19"/>
      <c r="D23" s="354"/>
      <c r="E23" s="138"/>
      <c r="F23" s="20"/>
      <c r="G23" s="21"/>
      <c r="H23" s="227"/>
      <c r="I23" s="354"/>
      <c r="J23" s="138"/>
      <c r="K23" s="20"/>
      <c r="L23" s="21"/>
      <c r="M23" s="227"/>
      <c r="N23" s="354"/>
      <c r="O23" s="138"/>
      <c r="P23" s="943"/>
      <c r="Q23" s="944"/>
      <c r="R23" s="22"/>
    </row>
    <row r="24" spans="1:18" ht="18.75" customHeight="1">
      <c r="A24" s="23" t="s">
        <v>113</v>
      </c>
      <c r="B24" s="19" t="s">
        <v>77</v>
      </c>
      <c r="C24" s="19"/>
      <c r="D24" s="356">
        <v>0</v>
      </c>
      <c r="E24" s="138">
        <f>'Crop Budget (Main)'!$C$10</f>
        <v>1</v>
      </c>
      <c r="F24" s="20"/>
      <c r="G24" s="21">
        <f t="shared" si="0"/>
        <v>0</v>
      </c>
      <c r="H24" s="227"/>
      <c r="I24" s="356">
        <v>0</v>
      </c>
      <c r="J24" s="138">
        <f>'Crop Budget (Main)'!$G$10</f>
        <v>1</v>
      </c>
      <c r="K24" s="20"/>
      <c r="L24" s="21">
        <f t="shared" si="1"/>
        <v>0</v>
      </c>
      <c r="M24" s="227"/>
      <c r="N24" s="356">
        <v>0</v>
      </c>
      <c r="O24" s="138">
        <f>'Crop Budget (Main)'!$K$10</f>
        <v>1</v>
      </c>
      <c r="P24" s="943"/>
      <c r="Q24" s="944"/>
      <c r="R24" s="22">
        <f t="shared" si="2"/>
        <v>0</v>
      </c>
    </row>
    <row r="25" spans="1:18" ht="18.75" customHeight="1">
      <c r="A25" s="23" t="s">
        <v>114</v>
      </c>
      <c r="B25" s="19" t="s">
        <v>77</v>
      </c>
      <c r="C25" s="19"/>
      <c r="D25" s="356">
        <v>0</v>
      </c>
      <c r="E25" s="138">
        <f>'Crop Budget (Main)'!$C$10</f>
        <v>1</v>
      </c>
      <c r="F25" s="20"/>
      <c r="G25" s="21">
        <f t="shared" si="0"/>
        <v>0</v>
      </c>
      <c r="H25" s="227"/>
      <c r="I25" s="356">
        <v>0</v>
      </c>
      <c r="J25" s="138">
        <f>'Crop Budget (Main)'!$G$10</f>
        <v>1</v>
      </c>
      <c r="K25" s="20"/>
      <c r="L25" s="21">
        <f t="shared" si="1"/>
        <v>0</v>
      </c>
      <c r="M25" s="227"/>
      <c r="N25" s="356">
        <v>0</v>
      </c>
      <c r="O25" s="138">
        <f>'Crop Budget (Main)'!$K$10</f>
        <v>1</v>
      </c>
      <c r="P25" s="943"/>
      <c r="Q25" s="944"/>
      <c r="R25" s="22">
        <f t="shared" si="2"/>
        <v>0</v>
      </c>
    </row>
    <row r="26" spans="1:18" ht="18.75" customHeight="1">
      <c r="A26" s="18" t="s">
        <v>303</v>
      </c>
      <c r="B26" s="19" t="s">
        <v>77</v>
      </c>
      <c r="C26" s="19"/>
      <c r="D26" s="356">
        <v>0</v>
      </c>
      <c r="E26" s="138">
        <f>'Crop Budget (Main)'!$C$10</f>
        <v>1</v>
      </c>
      <c r="F26" s="20"/>
      <c r="G26" s="21">
        <f t="shared" si="0"/>
        <v>0</v>
      </c>
      <c r="H26" s="227"/>
      <c r="I26" s="356">
        <v>0</v>
      </c>
      <c r="J26" s="138">
        <f>'Crop Budget (Main)'!$G$10</f>
        <v>1</v>
      </c>
      <c r="K26" s="20"/>
      <c r="L26" s="21">
        <f t="shared" si="1"/>
        <v>0</v>
      </c>
      <c r="M26" s="227"/>
      <c r="N26" s="356">
        <v>0</v>
      </c>
      <c r="O26" s="138">
        <f>'Crop Budget (Main)'!$K$10</f>
        <v>1</v>
      </c>
      <c r="P26" s="943"/>
      <c r="Q26" s="944"/>
      <c r="R26" s="22">
        <f t="shared" si="2"/>
        <v>0</v>
      </c>
    </row>
    <row r="27" spans="1:18" ht="18.75" customHeight="1">
      <c r="A27" s="18" t="s">
        <v>301</v>
      </c>
      <c r="B27" s="19"/>
      <c r="C27" s="19"/>
      <c r="D27" s="354"/>
      <c r="E27" s="138"/>
      <c r="F27" s="20"/>
      <c r="G27" s="21"/>
      <c r="H27" s="227"/>
      <c r="I27" s="356">
        <v>0</v>
      </c>
      <c r="J27" s="138"/>
      <c r="K27" s="20"/>
      <c r="L27" s="21"/>
      <c r="M27" s="227"/>
      <c r="N27" s="356">
        <v>0</v>
      </c>
      <c r="O27" s="138"/>
      <c r="P27" s="943"/>
      <c r="Q27" s="944"/>
      <c r="R27" s="22"/>
    </row>
    <row r="28" spans="1:18" ht="18.75" customHeight="1">
      <c r="A28" s="23" t="s">
        <v>933</v>
      </c>
      <c r="B28" s="19"/>
      <c r="C28" s="19"/>
      <c r="D28" s="356">
        <v>0</v>
      </c>
      <c r="E28" s="138">
        <f>'Crop Budget (Main)'!$C$10</f>
        <v>1</v>
      </c>
      <c r="F28" s="20"/>
      <c r="G28" s="21">
        <f t="shared" si="0"/>
        <v>0</v>
      </c>
      <c r="H28" s="227"/>
      <c r="I28" s="356">
        <v>0</v>
      </c>
      <c r="J28" s="138">
        <f>'Crop Budget (Main)'!$G$10</f>
        <v>1</v>
      </c>
      <c r="K28" s="20"/>
      <c r="L28" s="21">
        <f t="shared" si="1"/>
        <v>0</v>
      </c>
      <c r="M28" s="227"/>
      <c r="N28" s="356">
        <v>0</v>
      </c>
      <c r="O28" s="138">
        <f>'Crop Budget (Main)'!$K$10</f>
        <v>1</v>
      </c>
      <c r="P28" s="801"/>
      <c r="Q28" s="138"/>
      <c r="R28" s="22">
        <f>N28/O28</f>
        <v>0</v>
      </c>
    </row>
    <row r="29" spans="1:18" ht="18.75" customHeight="1">
      <c r="A29" s="23" t="s">
        <v>934</v>
      </c>
      <c r="B29" s="19"/>
      <c r="C29" s="19"/>
      <c r="D29" s="356">
        <v>0</v>
      </c>
      <c r="E29" s="138">
        <f>'Crop Budget (Main)'!$C$10</f>
        <v>1</v>
      </c>
      <c r="F29" s="20"/>
      <c r="G29" s="21">
        <f t="shared" si="0"/>
        <v>0</v>
      </c>
      <c r="H29" s="227"/>
      <c r="I29" s="356">
        <v>0</v>
      </c>
      <c r="J29" s="138">
        <f>'Crop Budget (Main)'!$G$10</f>
        <v>1</v>
      </c>
      <c r="K29" s="20"/>
      <c r="L29" s="21">
        <f t="shared" si="1"/>
        <v>0</v>
      </c>
      <c r="M29" s="227"/>
      <c r="N29" s="356">
        <v>0</v>
      </c>
      <c r="O29" s="138">
        <f>'Crop Budget (Main)'!$K$10</f>
        <v>1</v>
      </c>
      <c r="P29" s="801"/>
      <c r="Q29" s="138"/>
      <c r="R29" s="22">
        <f t="shared" si="2"/>
        <v>0</v>
      </c>
    </row>
    <row r="30" spans="1:18" ht="18.75" customHeight="1">
      <c r="A30" s="23" t="s">
        <v>935</v>
      </c>
      <c r="B30" s="19"/>
      <c r="C30" s="19"/>
      <c r="D30" s="356">
        <v>0</v>
      </c>
      <c r="E30" s="138">
        <f>'Crop Budget (Main)'!$C$10</f>
        <v>1</v>
      </c>
      <c r="F30" s="20"/>
      <c r="G30" s="21">
        <f t="shared" si="0"/>
        <v>0</v>
      </c>
      <c r="H30" s="227"/>
      <c r="I30" s="356">
        <v>0</v>
      </c>
      <c r="J30" s="138">
        <f>'Crop Budget (Main)'!$G$10</f>
        <v>1</v>
      </c>
      <c r="K30" s="20"/>
      <c r="L30" s="21">
        <f t="shared" si="1"/>
        <v>0</v>
      </c>
      <c r="M30" s="227"/>
      <c r="N30" s="356">
        <v>0</v>
      </c>
      <c r="O30" s="138">
        <f>'Crop Budget (Main)'!$K$10</f>
        <v>1</v>
      </c>
      <c r="P30" s="801"/>
      <c r="Q30" s="138"/>
      <c r="R30" s="22">
        <f t="shared" si="2"/>
        <v>0</v>
      </c>
    </row>
    <row r="31" spans="1:18" ht="18.75" customHeight="1">
      <c r="A31" s="23" t="s">
        <v>936</v>
      </c>
      <c r="B31" s="19"/>
      <c r="C31" s="19"/>
      <c r="D31" s="356">
        <v>0</v>
      </c>
      <c r="E31" s="138">
        <f>'Crop Budget (Main)'!$C$10</f>
        <v>1</v>
      </c>
      <c r="F31" s="20"/>
      <c r="G31" s="21">
        <f t="shared" si="0"/>
        <v>0</v>
      </c>
      <c r="H31" s="227"/>
      <c r="I31" s="356">
        <v>0</v>
      </c>
      <c r="J31" s="138">
        <f>'Crop Budget (Main)'!$G$10</f>
        <v>1</v>
      </c>
      <c r="K31" s="20"/>
      <c r="L31" s="21">
        <f t="shared" si="1"/>
        <v>0</v>
      </c>
      <c r="M31" s="227"/>
      <c r="N31" s="356">
        <v>0</v>
      </c>
      <c r="O31" s="138">
        <f>'Crop Budget (Main)'!$K$10</f>
        <v>1</v>
      </c>
      <c r="P31" s="801"/>
      <c r="Q31" s="138"/>
      <c r="R31" s="22">
        <f t="shared" si="2"/>
        <v>0</v>
      </c>
    </row>
    <row r="32" spans="1:18" ht="18.75" customHeight="1">
      <c r="A32" s="18" t="s">
        <v>302</v>
      </c>
      <c r="B32" s="19" t="s">
        <v>77</v>
      </c>
      <c r="C32" s="19"/>
      <c r="D32" s="356">
        <v>0</v>
      </c>
      <c r="E32" s="138">
        <f>'Crop Budget (Main)'!$C$10</f>
        <v>1</v>
      </c>
      <c r="F32" s="20"/>
      <c r="G32" s="21">
        <f t="shared" si="0"/>
        <v>0</v>
      </c>
      <c r="H32" s="227"/>
      <c r="I32" s="356">
        <v>0</v>
      </c>
      <c r="J32" s="138">
        <f>'Crop Budget (Main)'!$G$10</f>
        <v>1</v>
      </c>
      <c r="K32" s="20"/>
      <c r="L32" s="21">
        <f t="shared" si="1"/>
        <v>0</v>
      </c>
      <c r="M32" s="227"/>
      <c r="N32" s="356">
        <v>0</v>
      </c>
      <c r="O32" s="138">
        <f>'Crop Budget (Main)'!$K$10</f>
        <v>1</v>
      </c>
      <c r="P32" s="943"/>
      <c r="Q32" s="944"/>
      <c r="R32" s="22">
        <f t="shared" si="2"/>
        <v>0</v>
      </c>
    </row>
    <row r="33" spans="1:36" ht="18.75" customHeight="1" thickBot="1">
      <c r="A33" s="18"/>
      <c r="B33" s="19"/>
      <c r="C33" s="19"/>
      <c r="D33" s="225"/>
      <c r="E33" s="130"/>
      <c r="F33" s="131"/>
      <c r="G33" s="21"/>
      <c r="H33" s="64"/>
      <c r="I33" s="225"/>
      <c r="J33" s="130"/>
      <c r="K33" s="131"/>
      <c r="L33" s="21"/>
      <c r="M33" s="64"/>
      <c r="N33" s="225"/>
      <c r="O33" s="130"/>
      <c r="P33" s="943"/>
      <c r="Q33" s="944"/>
      <c r="R33" s="22"/>
    </row>
    <row r="34" spans="1:36" ht="18.75" customHeight="1" thickBot="1">
      <c r="A34" s="271" t="s">
        <v>416</v>
      </c>
      <c r="B34" s="272" t="s">
        <v>69</v>
      </c>
      <c r="C34" s="272"/>
      <c r="D34" s="275" t="str">
        <f>D4</f>
        <v>Select Crop</v>
      </c>
      <c r="E34" s="273" t="s">
        <v>205</v>
      </c>
      <c r="F34" s="273"/>
      <c r="G34" s="272" t="s">
        <v>118</v>
      </c>
      <c r="H34" s="272"/>
      <c r="I34" s="275" t="str">
        <f>I4</f>
        <v>Select Crop</v>
      </c>
      <c r="J34" s="273" t="s">
        <v>206</v>
      </c>
      <c r="K34" s="273"/>
      <c r="L34" s="272" t="s">
        <v>118</v>
      </c>
      <c r="M34" s="272"/>
      <c r="N34" s="275" t="str">
        <f>N4</f>
        <v>Select Crop</v>
      </c>
      <c r="O34" s="273" t="s">
        <v>207</v>
      </c>
      <c r="P34" s="947"/>
      <c r="Q34" s="947"/>
      <c r="R34" s="274" t="s">
        <v>118</v>
      </c>
    </row>
    <row r="35" spans="1:36" ht="18.75" customHeight="1">
      <c r="A35" s="18"/>
      <c r="B35" s="19"/>
      <c r="C35" s="19"/>
      <c r="D35" s="226" t="s">
        <v>128</v>
      </c>
      <c r="E35" s="224"/>
      <c r="F35" s="20"/>
      <c r="G35" s="21"/>
      <c r="H35" s="227"/>
      <c r="I35" s="226" t="s">
        <v>128</v>
      </c>
      <c r="J35" s="224"/>
      <c r="K35" s="20"/>
      <c r="L35" s="21"/>
      <c r="M35" s="227"/>
      <c r="N35" s="226" t="s">
        <v>128</v>
      </c>
      <c r="O35" s="269"/>
      <c r="P35" s="945"/>
      <c r="Q35" s="946"/>
      <c r="R35" s="270"/>
      <c r="S35" s="91"/>
      <c r="T35" s="52"/>
      <c r="U35" s="52"/>
      <c r="V35" s="52"/>
      <c r="W35" s="93"/>
      <c r="X35" s="93"/>
      <c r="Y35" s="52"/>
      <c r="Z35" s="52"/>
      <c r="AA35" s="52"/>
      <c r="AB35" s="93"/>
      <c r="AC35" s="93"/>
      <c r="AD35" s="52"/>
      <c r="AE35" s="52"/>
      <c r="AF35" s="52"/>
      <c r="AG35" s="93"/>
      <c r="AH35" s="93"/>
      <c r="AI35" s="93"/>
      <c r="AJ35" s="129"/>
    </row>
    <row r="36" spans="1:36" ht="18.75" customHeight="1">
      <c r="A36" s="18" t="s">
        <v>250</v>
      </c>
      <c r="B36" s="19" t="s">
        <v>77</v>
      </c>
      <c r="C36" s="19"/>
      <c r="D36" s="356">
        <v>0</v>
      </c>
      <c r="E36" s="138">
        <f>'Crop Budget (Main)'!$C$10</f>
        <v>1</v>
      </c>
      <c r="F36" s="20"/>
      <c r="G36" s="21">
        <f t="shared" ref="G36:G37" si="3">D36/E36</f>
        <v>0</v>
      </c>
      <c r="H36" s="227"/>
      <c r="I36" s="356">
        <v>0</v>
      </c>
      <c r="J36" s="138">
        <f>'Crop Budget (Main)'!$G$10</f>
        <v>1</v>
      </c>
      <c r="K36" s="20"/>
      <c r="L36" s="21">
        <f t="shared" ref="L36:L37" si="4">I36/J36</f>
        <v>0</v>
      </c>
      <c r="M36" s="227"/>
      <c r="N36" s="356">
        <v>0</v>
      </c>
      <c r="O36" s="138">
        <f>'Crop Budget (Main)'!$K$10</f>
        <v>1</v>
      </c>
      <c r="P36" s="943"/>
      <c r="Q36" s="944"/>
      <c r="R36" s="22">
        <f t="shared" ref="R36:R37" si="5">N36/O36</f>
        <v>0</v>
      </c>
    </row>
    <row r="37" spans="1:36" ht="18.75" customHeight="1">
      <c r="A37" s="18" t="s">
        <v>95</v>
      </c>
      <c r="B37" s="19" t="s">
        <v>77</v>
      </c>
      <c r="C37" s="19"/>
      <c r="D37" s="356">
        <v>0</v>
      </c>
      <c r="E37" s="138">
        <f>'Crop Budget (Main)'!$C$10</f>
        <v>1</v>
      </c>
      <c r="F37" s="20"/>
      <c r="G37" s="21">
        <f t="shared" si="3"/>
        <v>0</v>
      </c>
      <c r="H37" s="227"/>
      <c r="I37" s="356">
        <v>0</v>
      </c>
      <c r="J37" s="138">
        <f>'Crop Budget (Main)'!$G$10</f>
        <v>1</v>
      </c>
      <c r="K37" s="20"/>
      <c r="L37" s="21">
        <f t="shared" si="4"/>
        <v>0</v>
      </c>
      <c r="M37" s="227"/>
      <c r="N37" s="356">
        <v>0</v>
      </c>
      <c r="O37" s="138">
        <f>'Crop Budget (Main)'!$K$10</f>
        <v>1</v>
      </c>
      <c r="P37" s="943"/>
      <c r="Q37" s="944"/>
      <c r="R37" s="22">
        <f t="shared" si="5"/>
        <v>0</v>
      </c>
    </row>
    <row r="38" spans="1:36" ht="18.75" customHeight="1">
      <c r="A38" s="18" t="s">
        <v>208</v>
      </c>
      <c r="B38" s="19" t="s">
        <v>77</v>
      </c>
      <c r="C38" s="19"/>
      <c r="D38" s="356">
        <v>0</v>
      </c>
      <c r="E38" s="138">
        <f>'Crop Budget (Main)'!$C$10</f>
        <v>1</v>
      </c>
      <c r="F38" s="20"/>
      <c r="G38" s="21">
        <f>D38/E38</f>
        <v>0</v>
      </c>
      <c r="H38" s="227"/>
      <c r="I38" s="356">
        <v>0</v>
      </c>
      <c r="J38" s="138">
        <f>'Crop Budget (Main)'!$G$10</f>
        <v>1</v>
      </c>
      <c r="K38" s="20"/>
      <c r="L38" s="21">
        <f>I38/J38</f>
        <v>0</v>
      </c>
      <c r="M38" s="227"/>
      <c r="N38" s="356">
        <v>0</v>
      </c>
      <c r="O38" s="138">
        <f>'Crop Budget (Main)'!$K$10</f>
        <v>1</v>
      </c>
      <c r="P38" s="943"/>
      <c r="Q38" s="944"/>
      <c r="R38" s="22">
        <f>N38/O38</f>
        <v>0</v>
      </c>
    </row>
    <row r="39" spans="1:36" ht="18.75" customHeight="1" thickBot="1">
      <c r="A39" s="24" t="s">
        <v>302</v>
      </c>
      <c r="B39" s="25" t="s">
        <v>77</v>
      </c>
      <c r="C39" s="25"/>
      <c r="D39" s="357">
        <v>0</v>
      </c>
      <c r="E39" s="296">
        <f>'Crop Budget (Main)'!$C$10</f>
        <v>1</v>
      </c>
      <c r="F39" s="132"/>
      <c r="G39" s="133">
        <f>D39/E39</f>
        <v>0</v>
      </c>
      <c r="H39" s="228"/>
      <c r="I39" s="357">
        <v>0</v>
      </c>
      <c r="J39" s="296">
        <f>'Crop Budget (Main)'!$G$10</f>
        <v>1</v>
      </c>
      <c r="K39" s="132"/>
      <c r="L39" s="133">
        <f>I39/J39</f>
        <v>0</v>
      </c>
      <c r="M39" s="228"/>
      <c r="N39" s="357">
        <v>0</v>
      </c>
      <c r="O39" s="296">
        <f>'Crop Budget (Main)'!$K$10</f>
        <v>1</v>
      </c>
      <c r="P39" s="948"/>
      <c r="Q39" s="949"/>
      <c r="R39" s="134">
        <f>N39/O39</f>
        <v>0</v>
      </c>
    </row>
    <row r="41" spans="1:36">
      <c r="A41" s="276" t="s">
        <v>274</v>
      </c>
    </row>
  </sheetData>
  <sheetProtection algorithmName="SHA-512" hashValue="tSwhpRaZDm7MnTruC3MVCWaz6sB5Phkcpu1Yq3D2KOYbhRum/F27OfMq7I9N30sPZr4XbfNirmOPrBtrwn0JcQ==" saltValue="pOomZGw7UAJWCW5MPsiQIw==" spinCount="100000" sheet="1" objects="1" scenarios="1"/>
  <mergeCells count="33">
    <mergeCell ref="P39:Q39"/>
    <mergeCell ref="P15:Q15"/>
    <mergeCell ref="P16:Q16"/>
    <mergeCell ref="P17:Q17"/>
    <mergeCell ref="P18:Q18"/>
    <mergeCell ref="P19:Q19"/>
    <mergeCell ref="P20:Q20"/>
    <mergeCell ref="P21:Q21"/>
    <mergeCell ref="P22:Q22"/>
    <mergeCell ref="P23:Q23"/>
    <mergeCell ref="P24:Q24"/>
    <mergeCell ref="P27:Q27"/>
    <mergeCell ref="P34:Q34"/>
    <mergeCell ref="P25:Q25"/>
    <mergeCell ref="P26:Q26"/>
    <mergeCell ref="P36:Q36"/>
    <mergeCell ref="P33:Q33"/>
    <mergeCell ref="P38:Q38"/>
    <mergeCell ref="P37:Q37"/>
    <mergeCell ref="P35:Q35"/>
    <mergeCell ref="P32:Q32"/>
    <mergeCell ref="P11:Q11"/>
    <mergeCell ref="P12:Q12"/>
    <mergeCell ref="P13:Q13"/>
    <mergeCell ref="P14:Q14"/>
    <mergeCell ref="A1:R3"/>
    <mergeCell ref="P5:Q5"/>
    <mergeCell ref="P7:Q7"/>
    <mergeCell ref="P8:Q8"/>
    <mergeCell ref="P9:Q9"/>
    <mergeCell ref="P4:Q4"/>
    <mergeCell ref="P10:Q10"/>
    <mergeCell ref="P6:Q6"/>
  </mergeCells>
  <conditionalFormatting sqref="G36:G39 L36:L39 R36:R39">
    <cfRule type="dataBar" priority="573">
      <dataBar>
        <cfvo type="min"/>
        <cfvo type="max"/>
        <color rgb="FF63C384"/>
      </dataBar>
    </cfRule>
  </conditionalFormatting>
  <conditionalFormatting sqref="G5:H5">
    <cfRule type="dataBar" priority="39">
      <dataBar>
        <cfvo type="min"/>
        <cfvo type="max"/>
        <color rgb="FF63C384"/>
      </dataBar>
    </cfRule>
  </conditionalFormatting>
  <conditionalFormatting sqref="G35:H35">
    <cfRule type="dataBar" priority="4">
      <dataBar>
        <cfvo type="min"/>
        <cfvo type="max"/>
        <color rgb="FF63C384"/>
      </dataBar>
    </cfRule>
  </conditionalFormatting>
  <conditionalFormatting sqref="H16">
    <cfRule type="dataBar" priority="51">
      <dataBar>
        <cfvo type="min"/>
        <cfvo type="max"/>
        <color rgb="FF63C384"/>
      </dataBar>
    </cfRule>
  </conditionalFormatting>
  <conditionalFormatting sqref="L33 G33 R33">
    <cfRule type="dataBar" priority="567">
      <dataBar>
        <cfvo type="min"/>
        <cfvo type="max"/>
        <color rgb="FF63C384"/>
      </dataBar>
    </cfRule>
  </conditionalFormatting>
  <conditionalFormatting sqref="L5:M5">
    <cfRule type="dataBar" priority="40">
      <dataBar>
        <cfvo type="min"/>
        <cfvo type="max"/>
        <color rgb="FF63C384"/>
      </dataBar>
    </cfRule>
  </conditionalFormatting>
  <conditionalFormatting sqref="L35:M35">
    <cfRule type="dataBar" priority="5">
      <dataBar>
        <cfvo type="min"/>
        <cfvo type="max"/>
        <color rgb="FF63C384"/>
      </dataBar>
    </cfRule>
  </conditionalFormatting>
  <conditionalFormatting sqref="M16">
    <cfRule type="dataBar" priority="52">
      <dataBar>
        <cfvo type="min"/>
        <cfvo type="max"/>
        <color rgb="FF63C384"/>
      </dataBar>
    </cfRule>
  </conditionalFormatting>
  <conditionalFormatting sqref="R6:R32 G6:G32 L6:L32">
    <cfRule type="dataBar" priority="438">
      <dataBar>
        <cfvo type="min"/>
        <cfvo type="max"/>
        <color rgb="FF63C384"/>
      </dataBar>
    </cfRule>
  </conditionalFormatting>
  <pageMargins left="0.7" right="0.7" top="0.75" bottom="0.75" header="0.3" footer="0.3"/>
  <pageSetup scale="5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B79"/>
  <sheetViews>
    <sheetView zoomScale="90" zoomScaleNormal="90" workbookViewId="0">
      <pane ySplit="1" topLeftCell="A2" activePane="bottomLeft" state="frozen"/>
      <selection pane="bottomLeft" activeCell="A41" sqref="A41"/>
    </sheetView>
  </sheetViews>
  <sheetFormatPr defaultColWidth="9.140625" defaultRowHeight="15"/>
  <cols>
    <col min="1" max="1" width="46.42578125" style="6" customWidth="1"/>
    <col min="2" max="2" width="11.7109375" style="6" customWidth="1"/>
    <col min="3" max="3" width="18.42578125" style="6" hidden="1" customWidth="1"/>
    <col min="4" max="4" width="18.7109375" style="6" customWidth="1"/>
    <col min="5" max="5" width="12.42578125" style="6" hidden="1" customWidth="1"/>
    <col min="6" max="6" width="14.42578125" style="6" bestFit="1" customWidth="1"/>
    <col min="7" max="7" width="7.28515625" style="17" customWidth="1"/>
    <col min="8" max="8" width="10.85546875" style="6" customWidth="1"/>
    <col min="9" max="9" width="8.85546875" style="6" customWidth="1"/>
    <col min="10" max="10" width="8.7109375" style="6" customWidth="1"/>
    <col min="11" max="11" width="46.42578125" style="6" customWidth="1"/>
    <col min="12" max="12" width="11.7109375" style="6" customWidth="1"/>
    <col min="13" max="13" width="18.42578125" style="6" hidden="1" customWidth="1"/>
    <col min="14" max="14" width="18.7109375" style="6" customWidth="1"/>
    <col min="15" max="15" width="12.42578125" style="6" hidden="1" customWidth="1"/>
    <col min="16" max="16" width="14.42578125" style="6" bestFit="1" customWidth="1"/>
    <col min="17" max="17" width="7.28515625" style="17" customWidth="1"/>
    <col min="18" max="18" width="10.85546875" style="6" customWidth="1"/>
    <col min="19" max="20" width="8.7109375" style="6" customWidth="1"/>
    <col min="21" max="21" width="46.42578125" style="6" customWidth="1"/>
    <col min="22" max="22" width="11.7109375" style="6" customWidth="1"/>
    <col min="23" max="23" width="18.42578125" style="6" hidden="1" customWidth="1"/>
    <col min="24" max="24" width="18.7109375" style="6" customWidth="1"/>
    <col min="25" max="25" width="12.42578125" style="6" hidden="1" customWidth="1"/>
    <col min="26" max="26" width="14.42578125" style="6" customWidth="1"/>
    <col min="27" max="27" width="7.28515625" style="17" customWidth="1"/>
    <col min="28" max="28" width="10.85546875" style="6" customWidth="1"/>
    <col min="29" max="16384" width="9.140625" style="6"/>
  </cols>
  <sheetData>
    <row r="1" spans="1:28" ht="26.25">
      <c r="A1" s="863" t="str">
        <f>'Crop Budget (Main)'!C5</f>
        <v>Select Crop</v>
      </c>
      <c r="B1" s="864"/>
      <c r="C1" s="864"/>
      <c r="D1" s="864"/>
      <c r="E1" s="864"/>
      <c r="F1" s="864"/>
      <c r="G1" s="864"/>
      <c r="H1" s="865"/>
      <c r="I1" s="122"/>
      <c r="J1" s="123"/>
      <c r="K1" s="863" t="str">
        <f>'Crop Budget (Main)'!G5</f>
        <v>Select Crop</v>
      </c>
      <c r="L1" s="864"/>
      <c r="M1" s="864"/>
      <c r="N1" s="864"/>
      <c r="O1" s="864"/>
      <c r="P1" s="864"/>
      <c r="Q1" s="864"/>
      <c r="R1" s="865"/>
      <c r="S1" s="123"/>
      <c r="T1" s="123"/>
      <c r="U1" s="863" t="str">
        <f>'Crop Budget (Main)'!K5</f>
        <v>Select Crop</v>
      </c>
      <c r="V1" s="864"/>
      <c r="W1" s="864"/>
      <c r="X1" s="864"/>
      <c r="Y1" s="864"/>
      <c r="Z1" s="864"/>
      <c r="AA1" s="864"/>
      <c r="AB1" s="865"/>
    </row>
    <row r="2" spans="1:28" ht="16.5" thickBot="1">
      <c r="A2" s="27"/>
      <c r="B2" s="28"/>
      <c r="C2" s="28"/>
      <c r="D2" s="29"/>
      <c r="E2" s="30"/>
      <c r="F2" s="30"/>
      <c r="G2" s="28"/>
      <c r="H2" s="49"/>
      <c r="I2" s="2"/>
      <c r="J2" s="2"/>
      <c r="K2" s="27"/>
      <c r="L2" s="28"/>
      <c r="M2" s="28"/>
      <c r="N2" s="29"/>
      <c r="O2" s="30"/>
      <c r="P2" s="30"/>
      <c r="Q2" s="28"/>
      <c r="R2" s="49"/>
      <c r="S2" s="2"/>
      <c r="T2" s="2"/>
      <c r="U2" s="27"/>
      <c r="V2" s="28"/>
      <c r="W2" s="28"/>
      <c r="X2" s="29"/>
      <c r="Y2" s="30"/>
      <c r="Z2" s="30"/>
      <c r="AA2" s="28"/>
      <c r="AB2" s="49"/>
    </row>
    <row r="3" spans="1:28" ht="16.5" thickBot="1">
      <c r="A3" s="950" t="s">
        <v>668</v>
      </c>
      <c r="B3" s="951"/>
      <c r="C3" s="951"/>
      <c r="D3" s="951"/>
      <c r="E3" s="951"/>
      <c r="F3" s="951"/>
      <c r="G3" s="951"/>
      <c r="H3" s="952"/>
      <c r="I3" s="52"/>
      <c r="J3" s="2"/>
      <c r="K3" s="950" t="s">
        <v>668</v>
      </c>
      <c r="L3" s="951"/>
      <c r="M3" s="951"/>
      <c r="N3" s="951"/>
      <c r="O3" s="951"/>
      <c r="P3" s="951"/>
      <c r="Q3" s="951"/>
      <c r="R3" s="952"/>
      <c r="S3" s="2"/>
      <c r="T3" s="2"/>
      <c r="U3" s="950" t="s">
        <v>668</v>
      </c>
      <c r="V3" s="951"/>
      <c r="W3" s="951"/>
      <c r="X3" s="951"/>
      <c r="Y3" s="951"/>
      <c r="Z3" s="951"/>
      <c r="AA3" s="951"/>
      <c r="AB3" s="952"/>
    </row>
    <row r="4" spans="1:28" ht="31.5">
      <c r="A4" s="100" t="s">
        <v>105</v>
      </c>
      <c r="B4" s="101" t="s">
        <v>153</v>
      </c>
      <c r="C4" s="102" t="s">
        <v>106</v>
      </c>
      <c r="D4" s="101" t="s">
        <v>107</v>
      </c>
      <c r="E4" s="102" t="s">
        <v>12</v>
      </c>
      <c r="F4" s="102" t="s">
        <v>108</v>
      </c>
      <c r="G4" s="101" t="s">
        <v>211</v>
      </c>
      <c r="H4" s="103" t="s">
        <v>109</v>
      </c>
      <c r="I4" s="104"/>
      <c r="J4" s="2"/>
      <c r="K4" s="100" t="s">
        <v>105</v>
      </c>
      <c r="L4" s="101" t="s">
        <v>153</v>
      </c>
      <c r="M4" s="102" t="s">
        <v>106</v>
      </c>
      <c r="N4" s="101" t="s">
        <v>107</v>
      </c>
      <c r="O4" s="102" t="s">
        <v>12</v>
      </c>
      <c r="P4" s="102" t="s">
        <v>108</v>
      </c>
      <c r="Q4" s="101" t="s">
        <v>211</v>
      </c>
      <c r="R4" s="103" t="s">
        <v>109</v>
      </c>
      <c r="S4" s="2"/>
      <c r="T4" s="2"/>
      <c r="U4" s="100" t="s">
        <v>105</v>
      </c>
      <c r="V4" s="101" t="s">
        <v>153</v>
      </c>
      <c r="W4" s="102" t="s">
        <v>106</v>
      </c>
      <c r="X4" s="101" t="s">
        <v>107</v>
      </c>
      <c r="Y4" s="102" t="s">
        <v>12</v>
      </c>
      <c r="Z4" s="102" t="s">
        <v>108</v>
      </c>
      <c r="AA4" s="101" t="s">
        <v>211</v>
      </c>
      <c r="AB4" s="103" t="s">
        <v>109</v>
      </c>
    </row>
    <row r="5" spans="1:28" ht="15.75">
      <c r="A5" s="105" t="s">
        <v>242</v>
      </c>
      <c r="B5" s="106"/>
      <c r="C5" s="48"/>
      <c r="D5" s="68" t="s">
        <v>128</v>
      </c>
      <c r="E5" s="125"/>
      <c r="F5" s="68" t="s">
        <v>128</v>
      </c>
      <c r="G5" s="30"/>
      <c r="H5" s="108"/>
      <c r="I5" s="109"/>
      <c r="J5" s="51"/>
      <c r="K5" s="105" t="s">
        <v>242</v>
      </c>
      <c r="L5" s="106"/>
      <c r="M5" s="48"/>
      <c r="N5" s="68" t="s">
        <v>128</v>
      </c>
      <c r="O5" s="125"/>
      <c r="P5" s="68" t="s">
        <v>128</v>
      </c>
      <c r="Q5" s="30"/>
      <c r="R5" s="108"/>
      <c r="S5" s="51"/>
      <c r="T5" s="51"/>
      <c r="U5" s="105" t="s">
        <v>242</v>
      </c>
      <c r="V5" s="106"/>
      <c r="W5" s="48"/>
      <c r="X5" s="68" t="s">
        <v>128</v>
      </c>
      <c r="Y5" s="125"/>
      <c r="Z5" s="68" t="s">
        <v>128</v>
      </c>
      <c r="AA5" s="30"/>
      <c r="AB5" s="108"/>
    </row>
    <row r="6" spans="1:28" ht="15.75">
      <c r="A6" s="358" t="s">
        <v>13</v>
      </c>
      <c r="B6" s="35">
        <f>VLOOKUP(A6,VegetableChemicals,6,FALSE)</f>
        <v>0</v>
      </c>
      <c r="C6" s="14" t="str">
        <f>VLOOKUP(A6,Herbicides,4,FALSE)</f>
        <v>None</v>
      </c>
      <c r="D6" s="359">
        <v>0</v>
      </c>
      <c r="E6" s="547">
        <f>VLOOKUP(A6,Herbicides,3,FALSE)</f>
        <v>1</v>
      </c>
      <c r="F6" s="360">
        <v>0</v>
      </c>
      <c r="G6" s="35">
        <f>VLOOKUP(A6,Herbicides,2,FALSE)</f>
        <v>0</v>
      </c>
      <c r="H6" s="37">
        <f>F6/E6*D6</f>
        <v>0</v>
      </c>
      <c r="I6" s="15"/>
      <c r="J6" s="51"/>
      <c r="K6" s="358" t="s">
        <v>13</v>
      </c>
      <c r="L6" s="35">
        <f>VLOOKUP(K6,VegetableChemicals,6,FALSE)</f>
        <v>0</v>
      </c>
      <c r="M6" s="14" t="str">
        <f>VLOOKUP(K6,Herbicides,4,FALSE)</f>
        <v>None</v>
      </c>
      <c r="N6" s="359">
        <v>0</v>
      </c>
      <c r="O6" s="547">
        <f>VLOOKUP(K6,Herbicides,3,FALSE)</f>
        <v>1</v>
      </c>
      <c r="P6" s="360">
        <v>0</v>
      </c>
      <c r="Q6" s="35">
        <f>VLOOKUP(K6,Herbicides,2,FALSE)</f>
        <v>0</v>
      </c>
      <c r="R6" s="37">
        <f>P6/O6*N6</f>
        <v>0</v>
      </c>
      <c r="S6" s="51"/>
      <c r="T6" s="51"/>
      <c r="U6" s="358" t="s">
        <v>13</v>
      </c>
      <c r="V6" s="35">
        <f>VLOOKUP(U6,VegetableChemicals,6,FALSE)</f>
        <v>0</v>
      </c>
      <c r="W6" s="14" t="str">
        <f>VLOOKUP(U6,Herbicides,4,FALSE)</f>
        <v>None</v>
      </c>
      <c r="X6" s="359">
        <v>0</v>
      </c>
      <c r="Y6" s="547">
        <f>VLOOKUP(U6,Herbicides,3,FALSE)</f>
        <v>1</v>
      </c>
      <c r="Z6" s="360">
        <v>0</v>
      </c>
      <c r="AA6" s="35">
        <f>VLOOKUP(U6,Herbicides,2,FALSE)</f>
        <v>0</v>
      </c>
      <c r="AB6" s="37">
        <f>Z6/Y6*X6</f>
        <v>0</v>
      </c>
    </row>
    <row r="7" spans="1:28" ht="15.75">
      <c r="A7" s="358" t="s">
        <v>13</v>
      </c>
      <c r="B7" s="35">
        <f>VLOOKUP(A7,VegetableChemicals,6,FALSE)</f>
        <v>0</v>
      </c>
      <c r="C7" s="14" t="str">
        <f>VLOOKUP(A7,Herbicides,4,FALSE)</f>
        <v>None</v>
      </c>
      <c r="D7" s="359">
        <v>0</v>
      </c>
      <c r="E7" s="547">
        <f>VLOOKUP(A7,Herbicides,3,FALSE)</f>
        <v>1</v>
      </c>
      <c r="F7" s="360">
        <v>0</v>
      </c>
      <c r="G7" s="35">
        <f>VLOOKUP(A7,Herbicides,2,FALSE)</f>
        <v>0</v>
      </c>
      <c r="H7" s="37">
        <f t="shared" ref="H7:H10" si="0">F7/E7*D7</f>
        <v>0</v>
      </c>
      <c r="I7" s="15"/>
      <c r="J7" s="51"/>
      <c r="K7" s="358" t="s">
        <v>13</v>
      </c>
      <c r="L7" s="35">
        <f>VLOOKUP(K7,VegetableChemicals,6,FALSE)</f>
        <v>0</v>
      </c>
      <c r="M7" s="14" t="str">
        <f>VLOOKUP(K7,Herbicides,4,FALSE)</f>
        <v>None</v>
      </c>
      <c r="N7" s="359">
        <v>0</v>
      </c>
      <c r="O7" s="547">
        <f>VLOOKUP(K7,Herbicides,3,FALSE)</f>
        <v>1</v>
      </c>
      <c r="P7" s="360">
        <v>0</v>
      </c>
      <c r="Q7" s="35">
        <f>VLOOKUP(K7,Herbicides,2,FALSE)</f>
        <v>0</v>
      </c>
      <c r="R7" s="37">
        <f t="shared" ref="R7:R10" si="1">P7/O7*N7</f>
        <v>0</v>
      </c>
      <c r="S7" s="51"/>
      <c r="T7" s="51"/>
      <c r="U7" s="358" t="s">
        <v>13</v>
      </c>
      <c r="V7" s="35">
        <f>VLOOKUP(U7,VegetableChemicals,6,FALSE)</f>
        <v>0</v>
      </c>
      <c r="W7" s="14" t="str">
        <f>VLOOKUP(U7,Herbicides,4,FALSE)</f>
        <v>None</v>
      </c>
      <c r="X7" s="359">
        <v>0</v>
      </c>
      <c r="Y7" s="547">
        <f>VLOOKUP(U7,Herbicides,3,FALSE)</f>
        <v>1</v>
      </c>
      <c r="Z7" s="360">
        <v>0</v>
      </c>
      <c r="AA7" s="35">
        <f>VLOOKUP(U7,Herbicides,2,FALSE)</f>
        <v>0</v>
      </c>
      <c r="AB7" s="37">
        <f t="shared" ref="AB7:AB10" si="2">Z7/Y7*X7</f>
        <v>0</v>
      </c>
    </row>
    <row r="8" spans="1:28" ht="15.75">
      <c r="A8" s="358" t="s">
        <v>13</v>
      </c>
      <c r="B8" s="35">
        <f>VLOOKUP(A8,VegetableChemicals,6,FALSE)</f>
        <v>0</v>
      </c>
      <c r="C8" s="14" t="str">
        <f>VLOOKUP(A8,Herbicides,4,FALSE)</f>
        <v>None</v>
      </c>
      <c r="D8" s="359">
        <v>0</v>
      </c>
      <c r="E8" s="547">
        <f>VLOOKUP(A8,Herbicides,3,FALSE)</f>
        <v>1</v>
      </c>
      <c r="F8" s="360">
        <v>0</v>
      </c>
      <c r="G8" s="35">
        <f>VLOOKUP(A8,Herbicides,2,FALSE)</f>
        <v>0</v>
      </c>
      <c r="H8" s="37">
        <f t="shared" si="0"/>
        <v>0</v>
      </c>
      <c r="I8" s="15"/>
      <c r="J8" s="51"/>
      <c r="K8" s="358" t="s">
        <v>13</v>
      </c>
      <c r="L8" s="35">
        <f>VLOOKUP(K8,VegetableChemicals,6,FALSE)</f>
        <v>0</v>
      </c>
      <c r="M8" s="14" t="str">
        <f>VLOOKUP(K8,Herbicides,4,FALSE)</f>
        <v>None</v>
      </c>
      <c r="N8" s="359">
        <v>0</v>
      </c>
      <c r="O8" s="547">
        <f>VLOOKUP(K8,Herbicides,3,FALSE)</f>
        <v>1</v>
      </c>
      <c r="P8" s="360">
        <v>0</v>
      </c>
      <c r="Q8" s="35">
        <f>VLOOKUP(K8,Herbicides,2,FALSE)</f>
        <v>0</v>
      </c>
      <c r="R8" s="37">
        <f t="shared" si="1"/>
        <v>0</v>
      </c>
      <c r="S8" s="51"/>
      <c r="T8" s="51"/>
      <c r="U8" s="358" t="s">
        <v>13</v>
      </c>
      <c r="V8" s="35">
        <f>VLOOKUP(U8,VegetableChemicals,6,FALSE)</f>
        <v>0</v>
      </c>
      <c r="W8" s="14" t="str">
        <f>VLOOKUP(U8,Herbicides,4,FALSE)</f>
        <v>None</v>
      </c>
      <c r="X8" s="359">
        <v>0</v>
      </c>
      <c r="Y8" s="547">
        <f>VLOOKUP(U8,Herbicides,3,FALSE)</f>
        <v>1</v>
      </c>
      <c r="Z8" s="360">
        <v>0</v>
      </c>
      <c r="AA8" s="35">
        <f>VLOOKUP(U8,Herbicides,2,FALSE)</f>
        <v>0</v>
      </c>
      <c r="AB8" s="37">
        <f t="shared" si="2"/>
        <v>0</v>
      </c>
    </row>
    <row r="9" spans="1:28" ht="15.75">
      <c r="A9" s="358" t="s">
        <v>13</v>
      </c>
      <c r="B9" s="35">
        <f>VLOOKUP(A9,VegetableChemicals,6,FALSE)</f>
        <v>0</v>
      </c>
      <c r="C9" s="14" t="str">
        <f>VLOOKUP(A9,Herbicides,4,FALSE)</f>
        <v>None</v>
      </c>
      <c r="D9" s="359">
        <v>0</v>
      </c>
      <c r="E9" s="547">
        <f>VLOOKUP(A9,Herbicides,3,FALSE)</f>
        <v>1</v>
      </c>
      <c r="F9" s="360">
        <v>0</v>
      </c>
      <c r="G9" s="35">
        <f>VLOOKUP(A9,Herbicides,2,FALSE)</f>
        <v>0</v>
      </c>
      <c r="H9" s="37">
        <f t="shared" si="0"/>
        <v>0</v>
      </c>
      <c r="I9" s="15"/>
      <c r="J9" s="51"/>
      <c r="K9" s="358" t="s">
        <v>13</v>
      </c>
      <c r="L9" s="35">
        <f>VLOOKUP(K9,VegetableChemicals,6,FALSE)</f>
        <v>0</v>
      </c>
      <c r="M9" s="14" t="str">
        <f>VLOOKUP(K9,Herbicides,4,FALSE)</f>
        <v>None</v>
      </c>
      <c r="N9" s="359">
        <v>0</v>
      </c>
      <c r="O9" s="547">
        <f>VLOOKUP(K9,Herbicides,3,FALSE)</f>
        <v>1</v>
      </c>
      <c r="P9" s="360">
        <v>0</v>
      </c>
      <c r="Q9" s="35">
        <f>VLOOKUP(K9,Herbicides,2,FALSE)</f>
        <v>0</v>
      </c>
      <c r="R9" s="37">
        <f t="shared" si="1"/>
        <v>0</v>
      </c>
      <c r="S9" s="51"/>
      <c r="T9" s="51"/>
      <c r="U9" s="358" t="s">
        <v>13</v>
      </c>
      <c r="V9" s="35">
        <f>VLOOKUP(U9,VegetableChemicals,6,FALSE)</f>
        <v>0</v>
      </c>
      <c r="W9" s="14" t="str">
        <f>VLOOKUP(U9,Herbicides,4,FALSE)</f>
        <v>None</v>
      </c>
      <c r="X9" s="359">
        <v>0</v>
      </c>
      <c r="Y9" s="547">
        <f>VLOOKUP(U9,Herbicides,3,FALSE)</f>
        <v>1</v>
      </c>
      <c r="Z9" s="360">
        <v>0</v>
      </c>
      <c r="AA9" s="35">
        <f>VLOOKUP(U9,Herbicides,2,FALSE)</f>
        <v>0</v>
      </c>
      <c r="AB9" s="37">
        <f t="shared" si="2"/>
        <v>0</v>
      </c>
    </row>
    <row r="10" spans="1:28" ht="15.75">
      <c r="A10" s="358" t="s">
        <v>13</v>
      </c>
      <c r="B10" s="35">
        <f>VLOOKUP(A10,VegetableChemicals,6,FALSE)</f>
        <v>0</v>
      </c>
      <c r="C10" s="14" t="str">
        <f>VLOOKUP(A10,Herbicides,4,FALSE)</f>
        <v>None</v>
      </c>
      <c r="D10" s="359">
        <v>0</v>
      </c>
      <c r="E10" s="547">
        <f>VLOOKUP(A10,Herbicides,3,FALSE)</f>
        <v>1</v>
      </c>
      <c r="F10" s="360">
        <v>0</v>
      </c>
      <c r="G10" s="35">
        <f>VLOOKUP(A10,Herbicides,2,FALSE)</f>
        <v>0</v>
      </c>
      <c r="H10" s="37">
        <f t="shared" si="0"/>
        <v>0</v>
      </c>
      <c r="I10" s="15"/>
      <c r="J10" s="51"/>
      <c r="K10" s="358" t="s">
        <v>13</v>
      </c>
      <c r="L10" s="35">
        <f>VLOOKUP(K10,VegetableChemicals,6,FALSE)</f>
        <v>0</v>
      </c>
      <c r="M10" s="14" t="str">
        <f>VLOOKUP(K10,Herbicides,4,FALSE)</f>
        <v>None</v>
      </c>
      <c r="N10" s="359">
        <v>0</v>
      </c>
      <c r="O10" s="547">
        <f>VLOOKUP(K10,Herbicides,3,FALSE)</f>
        <v>1</v>
      </c>
      <c r="P10" s="360">
        <v>0</v>
      </c>
      <c r="Q10" s="35">
        <f>VLOOKUP(K10,Herbicides,2,FALSE)</f>
        <v>0</v>
      </c>
      <c r="R10" s="37">
        <f t="shared" si="1"/>
        <v>0</v>
      </c>
      <c r="S10" s="51"/>
      <c r="T10" s="51"/>
      <c r="U10" s="358" t="s">
        <v>13</v>
      </c>
      <c r="V10" s="35">
        <f>VLOOKUP(U10,VegetableChemicals,6,FALSE)</f>
        <v>0</v>
      </c>
      <c r="W10" s="14" t="str">
        <f>VLOOKUP(U10,Herbicides,4,FALSE)</f>
        <v>None</v>
      </c>
      <c r="X10" s="359">
        <v>0</v>
      </c>
      <c r="Y10" s="547">
        <f>VLOOKUP(U10,Herbicides,3,FALSE)</f>
        <v>1</v>
      </c>
      <c r="Z10" s="360">
        <v>0</v>
      </c>
      <c r="AA10" s="35">
        <f>VLOOKUP(U10,Herbicides,2,FALSE)</f>
        <v>0</v>
      </c>
      <c r="AB10" s="37">
        <f t="shared" si="2"/>
        <v>0</v>
      </c>
    </row>
    <row r="11" spans="1:28" ht="15.75">
      <c r="A11" s="39"/>
      <c r="B11" s="40"/>
      <c r="C11" s="41"/>
      <c r="D11" s="110"/>
      <c r="E11" s="112"/>
      <c r="F11" s="111"/>
      <c r="G11" s="8"/>
      <c r="H11" s="37"/>
      <c r="I11" s="15"/>
      <c r="J11" s="51"/>
      <c r="K11" s="39"/>
      <c r="L11" s="40"/>
      <c r="M11" s="41"/>
      <c r="N11" s="110"/>
      <c r="O11" s="112"/>
      <c r="P11" s="111"/>
      <c r="Q11" s="8"/>
      <c r="R11" s="37"/>
      <c r="S11" s="51"/>
      <c r="T11" s="51"/>
      <c r="U11" s="39"/>
      <c r="V11" s="40"/>
      <c r="W11" s="41"/>
      <c r="X11" s="110"/>
      <c r="Y11" s="112"/>
      <c r="Z11" s="111"/>
      <c r="AA11" s="8"/>
      <c r="AB11" s="37"/>
    </row>
    <row r="12" spans="1:28" ht="15.75">
      <c r="A12" s="113" t="s">
        <v>243</v>
      </c>
      <c r="B12" s="106"/>
      <c r="C12" s="16"/>
      <c r="D12" s="68" t="s">
        <v>128</v>
      </c>
      <c r="E12" s="126"/>
      <c r="F12" s="66" t="s">
        <v>128</v>
      </c>
      <c r="G12" s="30"/>
      <c r="H12" s="108"/>
      <c r="I12" s="109"/>
      <c r="J12" s="51"/>
      <c r="K12" s="113" t="s">
        <v>243</v>
      </c>
      <c r="L12" s="106"/>
      <c r="M12" s="16"/>
      <c r="N12" s="68" t="s">
        <v>128</v>
      </c>
      <c r="O12" s="126"/>
      <c r="P12" s="66" t="s">
        <v>128</v>
      </c>
      <c r="Q12" s="30"/>
      <c r="R12" s="108"/>
      <c r="S12" s="51"/>
      <c r="T12" s="51"/>
      <c r="U12" s="113" t="s">
        <v>243</v>
      </c>
      <c r="V12" s="106"/>
      <c r="W12" s="16"/>
      <c r="X12" s="68" t="s">
        <v>128</v>
      </c>
      <c r="Y12" s="126"/>
      <c r="Z12" s="66" t="s">
        <v>128</v>
      </c>
      <c r="AA12" s="30"/>
      <c r="AB12" s="108"/>
    </row>
    <row r="13" spans="1:28" ht="15.75">
      <c r="A13" s="358" t="s">
        <v>13</v>
      </c>
      <c r="B13" s="114"/>
      <c r="C13" s="14" t="str">
        <f>VLOOKUP(A13,Adjuvants,4,FALSE)</f>
        <v>None</v>
      </c>
      <c r="D13" s="359">
        <v>0</v>
      </c>
      <c r="E13" s="548">
        <f>VLOOKUP(A13,Adjuvants,3,FALSE)</f>
        <v>1</v>
      </c>
      <c r="F13" s="360">
        <v>0</v>
      </c>
      <c r="G13" s="35">
        <f>VLOOKUP(A13,Adjuvants,2,FALSE)</f>
        <v>0</v>
      </c>
      <c r="H13" s="37">
        <f>F13/E13*D13</f>
        <v>0</v>
      </c>
      <c r="I13" s="15"/>
      <c r="J13" s="51"/>
      <c r="K13" s="358" t="s">
        <v>13</v>
      </c>
      <c r="L13" s="114"/>
      <c r="M13" s="14" t="str">
        <f>VLOOKUP(K13,Adjuvants,4,FALSE)</f>
        <v>None</v>
      </c>
      <c r="N13" s="359">
        <v>0</v>
      </c>
      <c r="O13" s="548">
        <f>VLOOKUP(K13,Adjuvants,3,FALSE)</f>
        <v>1</v>
      </c>
      <c r="P13" s="360">
        <v>0</v>
      </c>
      <c r="Q13" s="35">
        <f>VLOOKUP(K13,Adjuvants,2,FALSE)</f>
        <v>0</v>
      </c>
      <c r="R13" s="37">
        <f>P13/O13*N13</f>
        <v>0</v>
      </c>
      <c r="S13" s="51"/>
      <c r="T13" s="51"/>
      <c r="U13" s="358" t="s">
        <v>13</v>
      </c>
      <c r="V13" s="114"/>
      <c r="W13" s="14" t="str">
        <f>VLOOKUP(U13,Adjuvants,4,FALSE)</f>
        <v>None</v>
      </c>
      <c r="X13" s="359">
        <v>0</v>
      </c>
      <c r="Y13" s="548">
        <f>VLOOKUP(U13,Adjuvants,3,FALSE)</f>
        <v>1</v>
      </c>
      <c r="Z13" s="360">
        <v>0</v>
      </c>
      <c r="AA13" s="35">
        <f>VLOOKUP(U13,Adjuvants,2,FALSE)</f>
        <v>0</v>
      </c>
      <c r="AB13" s="37">
        <f>Z13/Y13*X13</f>
        <v>0</v>
      </c>
    </row>
    <row r="14" spans="1:28" ht="15.75">
      <c r="A14" s="358" t="s">
        <v>13</v>
      </c>
      <c r="B14" s="114"/>
      <c r="C14" s="14" t="str">
        <f>VLOOKUP(A14,Adjuvants,4,FALSE)</f>
        <v>None</v>
      </c>
      <c r="D14" s="359">
        <v>0</v>
      </c>
      <c r="E14" s="548">
        <f>VLOOKUP(A14,Adjuvants,3,FALSE)</f>
        <v>1</v>
      </c>
      <c r="F14" s="360">
        <v>0</v>
      </c>
      <c r="G14" s="35">
        <f>VLOOKUP(A14,Adjuvants,2,FALSE)</f>
        <v>0</v>
      </c>
      <c r="H14" s="37">
        <f t="shared" ref="H14:H17" si="3">F14/E14*D14</f>
        <v>0</v>
      </c>
      <c r="I14" s="15"/>
      <c r="J14" s="51"/>
      <c r="K14" s="358" t="s">
        <v>13</v>
      </c>
      <c r="L14" s="114"/>
      <c r="M14" s="14" t="str">
        <f>VLOOKUP(K14,Adjuvants,4,FALSE)</f>
        <v>None</v>
      </c>
      <c r="N14" s="359">
        <v>0</v>
      </c>
      <c r="O14" s="548">
        <f>VLOOKUP(K14,Adjuvants,3,FALSE)</f>
        <v>1</v>
      </c>
      <c r="P14" s="360">
        <v>0</v>
      </c>
      <c r="Q14" s="35">
        <f>VLOOKUP(K14,Adjuvants,2,FALSE)</f>
        <v>0</v>
      </c>
      <c r="R14" s="37">
        <f t="shared" ref="R14:R17" si="4">P14/O14*N14</f>
        <v>0</v>
      </c>
      <c r="S14" s="51"/>
      <c r="T14" s="51"/>
      <c r="U14" s="358" t="s">
        <v>13</v>
      </c>
      <c r="V14" s="114"/>
      <c r="W14" s="14" t="str">
        <f>VLOOKUP(U14,Adjuvants,4,FALSE)</f>
        <v>None</v>
      </c>
      <c r="X14" s="359">
        <v>0</v>
      </c>
      <c r="Y14" s="548">
        <f>VLOOKUP(U14,Adjuvants,3,FALSE)</f>
        <v>1</v>
      </c>
      <c r="Z14" s="360">
        <v>0</v>
      </c>
      <c r="AA14" s="35">
        <f>VLOOKUP(U14,Adjuvants,2,FALSE)</f>
        <v>0</v>
      </c>
      <c r="AB14" s="37">
        <f t="shared" ref="AB14:AB17" si="5">Z14/Y14*X14</f>
        <v>0</v>
      </c>
    </row>
    <row r="15" spans="1:28" ht="15.75">
      <c r="A15" s="358" t="s">
        <v>13</v>
      </c>
      <c r="B15" s="114"/>
      <c r="C15" s="14" t="str">
        <f>VLOOKUP(A15,Adjuvants,4,FALSE)</f>
        <v>None</v>
      </c>
      <c r="D15" s="359">
        <v>0</v>
      </c>
      <c r="E15" s="548">
        <f>VLOOKUP(A15,Adjuvants,3,FALSE)</f>
        <v>1</v>
      </c>
      <c r="F15" s="360">
        <v>0</v>
      </c>
      <c r="G15" s="35">
        <f>VLOOKUP(A15,Adjuvants,2,FALSE)</f>
        <v>0</v>
      </c>
      <c r="H15" s="37">
        <f t="shared" si="3"/>
        <v>0</v>
      </c>
      <c r="I15" s="15"/>
      <c r="J15" s="308" t="s">
        <v>255</v>
      </c>
      <c r="K15" s="358" t="s">
        <v>13</v>
      </c>
      <c r="L15" s="114"/>
      <c r="M15" s="14" t="str">
        <f>VLOOKUP(K15,Adjuvants,4,FALSE)</f>
        <v>None</v>
      </c>
      <c r="N15" s="359">
        <v>0</v>
      </c>
      <c r="O15" s="548">
        <f>VLOOKUP(K15,Adjuvants,3,FALSE)</f>
        <v>1</v>
      </c>
      <c r="P15" s="360">
        <v>0</v>
      </c>
      <c r="Q15" s="35">
        <f>VLOOKUP(K15,Adjuvants,2,FALSE)</f>
        <v>0</v>
      </c>
      <c r="R15" s="37">
        <f t="shared" si="4"/>
        <v>0</v>
      </c>
      <c r="S15" s="51"/>
      <c r="T15" s="308" t="s">
        <v>255</v>
      </c>
      <c r="U15" s="358" t="s">
        <v>13</v>
      </c>
      <c r="V15" s="114"/>
      <c r="W15" s="14" t="str">
        <f>VLOOKUP(U15,Adjuvants,4,FALSE)</f>
        <v>None</v>
      </c>
      <c r="X15" s="359">
        <v>0</v>
      </c>
      <c r="Y15" s="548">
        <f>VLOOKUP(U15,Adjuvants,3,FALSE)</f>
        <v>1</v>
      </c>
      <c r="Z15" s="360">
        <v>0</v>
      </c>
      <c r="AA15" s="35">
        <f>VLOOKUP(U15,Adjuvants,2,FALSE)</f>
        <v>0</v>
      </c>
      <c r="AB15" s="37">
        <f t="shared" si="5"/>
        <v>0</v>
      </c>
    </row>
    <row r="16" spans="1:28" ht="15.75">
      <c r="A16" s="358" t="s">
        <v>13</v>
      </c>
      <c r="B16" s="114"/>
      <c r="C16" s="14" t="str">
        <f>VLOOKUP(A16,Adjuvants,4,FALSE)</f>
        <v>None</v>
      </c>
      <c r="D16" s="359">
        <v>0</v>
      </c>
      <c r="E16" s="548">
        <f>VLOOKUP(A16,Adjuvants,3,FALSE)</f>
        <v>1</v>
      </c>
      <c r="F16" s="360">
        <v>0</v>
      </c>
      <c r="G16" s="35">
        <f>VLOOKUP(A16,Adjuvants,2,FALSE)</f>
        <v>0</v>
      </c>
      <c r="H16" s="37">
        <f t="shared" si="3"/>
        <v>0</v>
      </c>
      <c r="I16" s="15"/>
      <c r="J16" s="308" t="s">
        <v>256</v>
      </c>
      <c r="K16" s="358" t="s">
        <v>13</v>
      </c>
      <c r="L16" s="114"/>
      <c r="M16" s="14" t="str">
        <f>VLOOKUP(K16,Adjuvants,4,FALSE)</f>
        <v>None</v>
      </c>
      <c r="N16" s="359">
        <v>0</v>
      </c>
      <c r="O16" s="548">
        <f>VLOOKUP(K16,Adjuvants,3,FALSE)</f>
        <v>1</v>
      </c>
      <c r="P16" s="360">
        <v>0</v>
      </c>
      <c r="Q16" s="35">
        <f>VLOOKUP(K16,Adjuvants,2,FALSE)</f>
        <v>0</v>
      </c>
      <c r="R16" s="37">
        <f t="shared" si="4"/>
        <v>0</v>
      </c>
      <c r="S16" s="51"/>
      <c r="T16" s="308" t="s">
        <v>256</v>
      </c>
      <c r="U16" s="358" t="s">
        <v>13</v>
      </c>
      <c r="V16" s="114"/>
      <c r="W16" s="14" t="str">
        <f>VLOOKUP(U16,Adjuvants,4,FALSE)</f>
        <v>None</v>
      </c>
      <c r="X16" s="359">
        <v>0</v>
      </c>
      <c r="Y16" s="548">
        <f>VLOOKUP(U16,Adjuvants,3,FALSE)</f>
        <v>1</v>
      </c>
      <c r="Z16" s="360">
        <v>0</v>
      </c>
      <c r="AA16" s="35">
        <f>VLOOKUP(U16,Adjuvants,2,FALSE)</f>
        <v>0</v>
      </c>
      <c r="AB16" s="37">
        <f t="shared" si="5"/>
        <v>0</v>
      </c>
    </row>
    <row r="17" spans="1:28" ht="15.75">
      <c r="A17" s="358" t="s">
        <v>13</v>
      </c>
      <c r="B17" s="114"/>
      <c r="C17" s="14" t="str">
        <f>VLOOKUP(A17,Adjuvants,4,FALSE)</f>
        <v>None</v>
      </c>
      <c r="D17" s="359">
        <v>0</v>
      </c>
      <c r="E17" s="548">
        <f>VLOOKUP(A17,Adjuvants,3,FALSE)</f>
        <v>1</v>
      </c>
      <c r="F17" s="360">
        <v>0</v>
      </c>
      <c r="G17" s="35">
        <f>VLOOKUP(A17,Adjuvants,2,FALSE)</f>
        <v>0</v>
      </c>
      <c r="H17" s="37">
        <f t="shared" si="3"/>
        <v>0</v>
      </c>
      <c r="I17" s="15"/>
      <c r="J17" s="953" t="s">
        <v>254</v>
      </c>
      <c r="K17" s="358" t="s">
        <v>13</v>
      </c>
      <c r="L17" s="114"/>
      <c r="M17" s="14" t="str">
        <f>VLOOKUP(K17,Adjuvants,4,FALSE)</f>
        <v>None</v>
      </c>
      <c r="N17" s="359">
        <v>0</v>
      </c>
      <c r="O17" s="548">
        <f>VLOOKUP(K17,Adjuvants,3,FALSE)</f>
        <v>1</v>
      </c>
      <c r="P17" s="360">
        <v>0</v>
      </c>
      <c r="Q17" s="35">
        <f>VLOOKUP(K17,Adjuvants,2,FALSE)</f>
        <v>0</v>
      </c>
      <c r="R17" s="37">
        <f t="shared" si="4"/>
        <v>0</v>
      </c>
      <c r="S17" s="51"/>
      <c r="T17" s="953" t="s">
        <v>254</v>
      </c>
      <c r="U17" s="358" t="s">
        <v>13</v>
      </c>
      <c r="V17" s="114"/>
      <c r="W17" s="14" t="str">
        <f>VLOOKUP(U17,Adjuvants,4,FALSE)</f>
        <v>None</v>
      </c>
      <c r="X17" s="359">
        <v>0</v>
      </c>
      <c r="Y17" s="548">
        <f>VLOOKUP(U17,Adjuvants,3,FALSE)</f>
        <v>1</v>
      </c>
      <c r="Z17" s="360">
        <v>0</v>
      </c>
      <c r="AA17" s="35">
        <f>VLOOKUP(U17,Adjuvants,2,FALSE)</f>
        <v>0</v>
      </c>
      <c r="AB17" s="37">
        <f t="shared" si="5"/>
        <v>0</v>
      </c>
    </row>
    <row r="18" spans="1:28" ht="15.75" customHeight="1">
      <c r="A18" s="31"/>
      <c r="B18" s="32"/>
      <c r="C18" s="33"/>
      <c r="D18" s="34"/>
      <c r="E18" s="35"/>
      <c r="F18" s="36"/>
      <c r="G18" s="35"/>
      <c r="H18" s="37"/>
      <c r="I18" s="15"/>
      <c r="J18" s="954"/>
      <c r="K18" s="31"/>
      <c r="L18" s="32"/>
      <c r="M18" s="33"/>
      <c r="N18" s="34"/>
      <c r="O18" s="35"/>
      <c r="P18" s="36"/>
      <c r="Q18" s="35"/>
      <c r="R18" s="37"/>
      <c r="S18" s="51"/>
      <c r="T18" s="954"/>
      <c r="U18" s="31"/>
      <c r="V18" s="32"/>
      <c r="W18" s="33"/>
      <c r="X18" s="34"/>
      <c r="Y18" s="35"/>
      <c r="Z18" s="36"/>
      <c r="AA18" s="35"/>
      <c r="AB18" s="37"/>
    </row>
    <row r="19" spans="1:28" ht="16.5" customHeight="1" thickBot="1">
      <c r="A19" s="266" t="s">
        <v>895</v>
      </c>
      <c r="B19" s="267"/>
      <c r="C19" s="263"/>
      <c r="D19" s="263"/>
      <c r="E19" s="263"/>
      <c r="F19" s="263"/>
      <c r="G19" s="264"/>
      <c r="H19" s="265">
        <f>SUM(H6:H17)</f>
        <v>0</v>
      </c>
      <c r="I19" s="115"/>
      <c r="J19" s="51"/>
      <c r="K19" s="266" t="s">
        <v>895</v>
      </c>
      <c r="L19" s="267"/>
      <c r="M19" s="263"/>
      <c r="N19" s="263"/>
      <c r="O19" s="263"/>
      <c r="P19" s="263"/>
      <c r="Q19" s="264"/>
      <c r="R19" s="265">
        <f>SUM(R6:R17)</f>
        <v>0</v>
      </c>
      <c r="S19" s="2"/>
      <c r="T19" s="2"/>
      <c r="U19" s="266" t="s">
        <v>895</v>
      </c>
      <c r="V19" s="267"/>
      <c r="W19" s="263"/>
      <c r="X19" s="263"/>
      <c r="Y19" s="263"/>
      <c r="Z19" s="263"/>
      <c r="AA19" s="264"/>
      <c r="AB19" s="265">
        <f>SUM(AB6:AB17)</f>
        <v>0</v>
      </c>
    </row>
    <row r="20" spans="1:28" ht="16.5" thickTop="1">
      <c r="A20" s="31"/>
      <c r="B20" s="32"/>
      <c r="C20" s="33"/>
      <c r="D20" s="34"/>
      <c r="E20" s="35"/>
      <c r="F20" s="36"/>
      <c r="G20" s="35"/>
      <c r="H20" s="37"/>
      <c r="I20" s="38"/>
      <c r="J20"/>
      <c r="K20" s="31"/>
      <c r="L20" s="32"/>
      <c r="M20" s="33"/>
      <c r="N20" s="34"/>
      <c r="O20" s="35"/>
      <c r="P20" s="36"/>
      <c r="Q20" s="35"/>
      <c r="R20" s="37"/>
      <c r="S20"/>
      <c r="T20"/>
      <c r="U20" s="31"/>
      <c r="V20" s="32"/>
      <c r="W20" s="33"/>
      <c r="X20" s="34"/>
      <c r="Y20" s="35"/>
      <c r="Z20" s="36"/>
      <c r="AA20" s="35"/>
      <c r="AB20" s="37"/>
    </row>
    <row r="21" spans="1:28" ht="16.5" thickBot="1">
      <c r="A21" s="39"/>
      <c r="B21" s="40"/>
      <c r="C21" s="41"/>
      <c r="D21" s="38"/>
      <c r="E21" s="42"/>
      <c r="F21" s="43"/>
      <c r="G21" s="8"/>
      <c r="H21" s="37"/>
      <c r="I21" s="38"/>
      <c r="J21"/>
      <c r="K21" s="39"/>
      <c r="L21" s="40"/>
      <c r="M21" s="41"/>
      <c r="N21" s="38"/>
      <c r="O21" s="42"/>
      <c r="P21" s="43"/>
      <c r="Q21" s="8"/>
      <c r="R21" s="37"/>
      <c r="S21"/>
      <c r="T21"/>
      <c r="U21" s="39"/>
      <c r="V21" s="40"/>
      <c r="W21" s="41"/>
      <c r="X21" s="38"/>
      <c r="Y21" s="42"/>
      <c r="Z21" s="43"/>
      <c r="AA21" s="8"/>
      <c r="AB21" s="37"/>
    </row>
    <row r="22" spans="1:28" ht="16.5" thickBot="1">
      <c r="A22" s="950" t="s">
        <v>669</v>
      </c>
      <c r="B22" s="951"/>
      <c r="C22" s="951"/>
      <c r="D22" s="951"/>
      <c r="E22" s="951"/>
      <c r="F22" s="951"/>
      <c r="G22" s="951"/>
      <c r="H22" s="952"/>
      <c r="I22" s="52"/>
      <c r="J22" s="2"/>
      <c r="K22" s="950" t="s">
        <v>669</v>
      </c>
      <c r="L22" s="951"/>
      <c r="M22" s="951"/>
      <c r="N22" s="951"/>
      <c r="O22" s="951"/>
      <c r="P22" s="951"/>
      <c r="Q22" s="951"/>
      <c r="R22" s="952"/>
      <c r="S22" s="2"/>
      <c r="T22" s="2"/>
      <c r="U22" s="950" t="s">
        <v>669</v>
      </c>
      <c r="V22" s="951"/>
      <c r="W22" s="951"/>
      <c r="X22" s="951"/>
      <c r="Y22" s="951"/>
      <c r="Z22" s="951"/>
      <c r="AA22" s="951"/>
      <c r="AB22" s="952"/>
    </row>
    <row r="23" spans="1:28" ht="31.5">
      <c r="A23" s="100" t="s">
        <v>105</v>
      </c>
      <c r="B23" s="101" t="s">
        <v>153</v>
      </c>
      <c r="C23" s="102" t="s">
        <v>106</v>
      </c>
      <c r="D23" s="101" t="s">
        <v>107</v>
      </c>
      <c r="E23" s="102" t="s">
        <v>12</v>
      </c>
      <c r="F23" s="102" t="s">
        <v>108</v>
      </c>
      <c r="G23" s="101" t="s">
        <v>211</v>
      </c>
      <c r="H23" s="103" t="s">
        <v>109</v>
      </c>
      <c r="I23" s="104"/>
      <c r="J23" s="2"/>
      <c r="K23" s="100" t="s">
        <v>105</v>
      </c>
      <c r="L23" s="101" t="s">
        <v>153</v>
      </c>
      <c r="M23" s="102" t="s">
        <v>106</v>
      </c>
      <c r="N23" s="101" t="s">
        <v>107</v>
      </c>
      <c r="O23" s="102" t="s">
        <v>12</v>
      </c>
      <c r="P23" s="102" t="s">
        <v>108</v>
      </c>
      <c r="Q23" s="101" t="s">
        <v>211</v>
      </c>
      <c r="R23" s="103" t="s">
        <v>109</v>
      </c>
      <c r="S23" s="2"/>
      <c r="T23" s="2"/>
      <c r="U23" s="100" t="s">
        <v>105</v>
      </c>
      <c r="V23" s="101" t="s">
        <v>153</v>
      </c>
      <c r="W23" s="102" t="s">
        <v>106</v>
      </c>
      <c r="X23" s="101" t="s">
        <v>107</v>
      </c>
      <c r="Y23" s="102" t="s">
        <v>12</v>
      </c>
      <c r="Z23" s="102" t="s">
        <v>108</v>
      </c>
      <c r="AA23" s="101" t="s">
        <v>211</v>
      </c>
      <c r="AB23" s="103" t="s">
        <v>109</v>
      </c>
    </row>
    <row r="24" spans="1:28" ht="15.75">
      <c r="A24" s="105" t="s">
        <v>242</v>
      </c>
      <c r="B24" s="106"/>
      <c r="C24" s="16"/>
      <c r="D24" s="67" t="s">
        <v>128</v>
      </c>
      <c r="E24" s="124"/>
      <c r="F24" s="67" t="s">
        <v>128</v>
      </c>
      <c r="G24" s="30"/>
      <c r="H24" s="108"/>
      <c r="I24" s="109"/>
      <c r="J24" s="51"/>
      <c r="K24" s="105" t="s">
        <v>242</v>
      </c>
      <c r="L24" s="106"/>
      <c r="M24" s="16"/>
      <c r="N24" s="67" t="s">
        <v>128</v>
      </c>
      <c r="O24" s="124"/>
      <c r="P24" s="67" t="s">
        <v>128</v>
      </c>
      <c r="Q24" s="30"/>
      <c r="R24" s="108"/>
      <c r="S24" s="51"/>
      <c r="T24" s="51"/>
      <c r="U24" s="105" t="s">
        <v>242</v>
      </c>
      <c r="V24" s="106"/>
      <c r="W24" s="16"/>
      <c r="X24" s="67" t="s">
        <v>128</v>
      </c>
      <c r="Y24" s="124"/>
      <c r="Z24" s="67" t="s">
        <v>128</v>
      </c>
      <c r="AA24" s="30"/>
      <c r="AB24" s="108"/>
    </row>
    <row r="25" spans="1:28" ht="15.75">
      <c r="A25" s="358" t="s">
        <v>13</v>
      </c>
      <c r="B25" s="35">
        <f>VLOOKUP(A25,VegetableChemicals,6,FALSE)</f>
        <v>0</v>
      </c>
      <c r="C25" s="14" t="str">
        <f>VLOOKUP(A25,Herbicides,4,FALSE)</f>
        <v>None</v>
      </c>
      <c r="D25" s="359">
        <v>0</v>
      </c>
      <c r="E25" s="547">
        <f>VLOOKUP(A25,Herbicides,3,FALSE)</f>
        <v>1</v>
      </c>
      <c r="F25" s="360">
        <v>0</v>
      </c>
      <c r="G25" s="35">
        <f>VLOOKUP(A25,Herbicides,2,FALSE)</f>
        <v>0</v>
      </c>
      <c r="H25" s="37">
        <f t="shared" ref="H25:H29" si="6">F25/E25*D25</f>
        <v>0</v>
      </c>
      <c r="I25" s="15"/>
      <c r="J25" s="51"/>
      <c r="K25" s="358" t="s">
        <v>13</v>
      </c>
      <c r="L25" s="35">
        <f>VLOOKUP(K25,VegetableChemicals,6,FALSE)</f>
        <v>0</v>
      </c>
      <c r="M25" s="14" t="str">
        <f>VLOOKUP(K25,Herbicides,4,FALSE)</f>
        <v>None</v>
      </c>
      <c r="N25" s="359">
        <v>0</v>
      </c>
      <c r="O25" s="547">
        <f>VLOOKUP(K25,Herbicides,3,FALSE)</f>
        <v>1</v>
      </c>
      <c r="P25" s="360">
        <v>0</v>
      </c>
      <c r="Q25" s="35">
        <f>VLOOKUP(K25,Herbicides,2,FALSE)</f>
        <v>0</v>
      </c>
      <c r="R25" s="37">
        <f t="shared" ref="R25:R29" si="7">P25/O25*N25</f>
        <v>0</v>
      </c>
      <c r="S25" s="51"/>
      <c r="T25" s="51"/>
      <c r="U25" s="358" t="s">
        <v>13</v>
      </c>
      <c r="V25" s="35">
        <f>VLOOKUP(U25,VegetableChemicals,6,FALSE)</f>
        <v>0</v>
      </c>
      <c r="W25" s="14" t="str">
        <f>VLOOKUP(U25,Herbicides,4,FALSE)</f>
        <v>None</v>
      </c>
      <c r="X25" s="359">
        <v>0</v>
      </c>
      <c r="Y25" s="547">
        <f>VLOOKUP(U25,Herbicides,3,FALSE)</f>
        <v>1</v>
      </c>
      <c r="Z25" s="360">
        <v>0</v>
      </c>
      <c r="AA25" s="35">
        <f>VLOOKUP(U25,Herbicides,2,FALSE)</f>
        <v>0</v>
      </c>
      <c r="AB25" s="37">
        <f t="shared" ref="AB25:AB29" si="8">Z25/Y25*X25</f>
        <v>0</v>
      </c>
    </row>
    <row r="26" spans="1:28" ht="15.75">
      <c r="A26" s="358" t="s">
        <v>13</v>
      </c>
      <c r="B26" s="35">
        <f>VLOOKUP(A26,VegetableChemicals,6,FALSE)</f>
        <v>0</v>
      </c>
      <c r="C26" s="14" t="str">
        <f>VLOOKUP(A26,Herbicides,4,FALSE)</f>
        <v>None</v>
      </c>
      <c r="D26" s="359">
        <v>0</v>
      </c>
      <c r="E26" s="547">
        <f>VLOOKUP(A26,Herbicides,3,FALSE)</f>
        <v>1</v>
      </c>
      <c r="F26" s="360">
        <v>0</v>
      </c>
      <c r="G26" s="35">
        <f>VLOOKUP(A26,Herbicides,2,FALSE)</f>
        <v>0</v>
      </c>
      <c r="H26" s="37">
        <f t="shared" si="6"/>
        <v>0</v>
      </c>
      <c r="I26" s="15"/>
      <c r="J26" s="51"/>
      <c r="K26" s="358" t="s">
        <v>13</v>
      </c>
      <c r="L26" s="35">
        <f>VLOOKUP(K26,VegetableChemicals,6,FALSE)</f>
        <v>0</v>
      </c>
      <c r="M26" s="14" t="str">
        <f>VLOOKUP(K26,Herbicides,4,FALSE)</f>
        <v>None</v>
      </c>
      <c r="N26" s="359">
        <v>0</v>
      </c>
      <c r="O26" s="547">
        <f>VLOOKUP(K26,Herbicides,3,FALSE)</f>
        <v>1</v>
      </c>
      <c r="P26" s="360">
        <v>0</v>
      </c>
      <c r="Q26" s="35">
        <f>VLOOKUP(K26,Herbicides,2,FALSE)</f>
        <v>0</v>
      </c>
      <c r="R26" s="37">
        <f t="shared" si="7"/>
        <v>0</v>
      </c>
      <c r="S26" s="51"/>
      <c r="T26" s="51"/>
      <c r="U26" s="358" t="s">
        <v>13</v>
      </c>
      <c r="V26" s="35">
        <f>VLOOKUP(U26,VegetableChemicals,6,FALSE)</f>
        <v>0</v>
      </c>
      <c r="W26" s="14" t="str">
        <f>VLOOKUP(U26,Herbicides,4,FALSE)</f>
        <v>None</v>
      </c>
      <c r="X26" s="359">
        <v>0</v>
      </c>
      <c r="Y26" s="547">
        <f>VLOOKUP(U26,Herbicides,3,FALSE)</f>
        <v>1</v>
      </c>
      <c r="Z26" s="360">
        <v>0</v>
      </c>
      <c r="AA26" s="35">
        <f>VLOOKUP(U26,Herbicides,2,FALSE)</f>
        <v>0</v>
      </c>
      <c r="AB26" s="37">
        <f t="shared" si="8"/>
        <v>0</v>
      </c>
    </row>
    <row r="27" spans="1:28" ht="15.75">
      <c r="A27" s="358" t="s">
        <v>13</v>
      </c>
      <c r="B27" s="35">
        <f>VLOOKUP(A27,VegetableChemicals,6,FALSE)</f>
        <v>0</v>
      </c>
      <c r="C27" s="14" t="str">
        <f>VLOOKUP(A27,Herbicides,4,FALSE)</f>
        <v>None</v>
      </c>
      <c r="D27" s="359">
        <v>0</v>
      </c>
      <c r="E27" s="547">
        <f>VLOOKUP(A27,Herbicides,3,FALSE)</f>
        <v>1</v>
      </c>
      <c r="F27" s="360">
        <v>0</v>
      </c>
      <c r="G27" s="35">
        <f>VLOOKUP(A27,Herbicides,2,FALSE)</f>
        <v>0</v>
      </c>
      <c r="H27" s="37">
        <f t="shared" si="6"/>
        <v>0</v>
      </c>
      <c r="I27" s="15"/>
      <c r="J27" s="51"/>
      <c r="K27" s="358" t="s">
        <v>13</v>
      </c>
      <c r="L27" s="35">
        <f>VLOOKUP(K27,VegetableChemicals,6,FALSE)</f>
        <v>0</v>
      </c>
      <c r="M27" s="14" t="str">
        <f>VLOOKUP(K27,Herbicides,4,FALSE)</f>
        <v>None</v>
      </c>
      <c r="N27" s="359">
        <v>0</v>
      </c>
      <c r="O27" s="547">
        <f>VLOOKUP(K27,Herbicides,3,FALSE)</f>
        <v>1</v>
      </c>
      <c r="P27" s="360">
        <v>0</v>
      </c>
      <c r="Q27" s="35">
        <f>VLOOKUP(K27,Herbicides,2,FALSE)</f>
        <v>0</v>
      </c>
      <c r="R27" s="37">
        <f t="shared" si="7"/>
        <v>0</v>
      </c>
      <c r="S27" s="51"/>
      <c r="T27" s="51"/>
      <c r="U27" s="358" t="s">
        <v>13</v>
      </c>
      <c r="V27" s="35">
        <f>VLOOKUP(U27,VegetableChemicals,6,FALSE)</f>
        <v>0</v>
      </c>
      <c r="W27" s="14" t="str">
        <f>VLOOKUP(U27,Herbicides,4,FALSE)</f>
        <v>None</v>
      </c>
      <c r="X27" s="359">
        <v>0</v>
      </c>
      <c r="Y27" s="547">
        <f>VLOOKUP(U27,Herbicides,3,FALSE)</f>
        <v>1</v>
      </c>
      <c r="Z27" s="360">
        <v>0</v>
      </c>
      <c r="AA27" s="35">
        <f>VLOOKUP(U27,Herbicides,2,FALSE)</f>
        <v>0</v>
      </c>
      <c r="AB27" s="37">
        <f t="shared" si="8"/>
        <v>0</v>
      </c>
    </row>
    <row r="28" spans="1:28" ht="15.75">
      <c r="A28" s="358" t="s">
        <v>13</v>
      </c>
      <c r="B28" s="35">
        <f>VLOOKUP(A28,VegetableChemicals,6,FALSE)</f>
        <v>0</v>
      </c>
      <c r="C28" s="14" t="str">
        <f>VLOOKUP(A28,Herbicides,4,FALSE)</f>
        <v>None</v>
      </c>
      <c r="D28" s="359">
        <v>0</v>
      </c>
      <c r="E28" s="547">
        <f>VLOOKUP(A28,Herbicides,3,FALSE)</f>
        <v>1</v>
      </c>
      <c r="F28" s="360">
        <v>0</v>
      </c>
      <c r="G28" s="35">
        <f>VLOOKUP(A28,Herbicides,2,FALSE)</f>
        <v>0</v>
      </c>
      <c r="H28" s="37">
        <f t="shared" si="6"/>
        <v>0</v>
      </c>
      <c r="I28" s="15"/>
      <c r="J28" s="51"/>
      <c r="K28" s="358" t="s">
        <v>13</v>
      </c>
      <c r="L28" s="35">
        <f>VLOOKUP(K28,VegetableChemicals,6,FALSE)</f>
        <v>0</v>
      </c>
      <c r="M28" s="14" t="str">
        <f>VLOOKUP(K28,Herbicides,4,FALSE)</f>
        <v>None</v>
      </c>
      <c r="N28" s="359">
        <v>0</v>
      </c>
      <c r="O28" s="547">
        <f>VLOOKUP(K28,Herbicides,3,FALSE)</f>
        <v>1</v>
      </c>
      <c r="P28" s="360">
        <v>0</v>
      </c>
      <c r="Q28" s="35">
        <f>VLOOKUP(K28,Herbicides,2,FALSE)</f>
        <v>0</v>
      </c>
      <c r="R28" s="37">
        <f t="shared" si="7"/>
        <v>0</v>
      </c>
      <c r="S28" s="51"/>
      <c r="T28" s="51"/>
      <c r="U28" s="358" t="s">
        <v>13</v>
      </c>
      <c r="V28" s="35">
        <f>VLOOKUP(U28,VegetableChemicals,6,FALSE)</f>
        <v>0</v>
      </c>
      <c r="W28" s="14" t="str">
        <f>VLOOKUP(U28,Herbicides,4,FALSE)</f>
        <v>None</v>
      </c>
      <c r="X28" s="359">
        <v>0</v>
      </c>
      <c r="Y28" s="547">
        <f>VLOOKUP(U28,Herbicides,3,FALSE)</f>
        <v>1</v>
      </c>
      <c r="Z28" s="360">
        <v>0</v>
      </c>
      <c r="AA28" s="35">
        <f>VLOOKUP(U28,Herbicides,2,FALSE)</f>
        <v>0</v>
      </c>
      <c r="AB28" s="37">
        <f t="shared" si="8"/>
        <v>0</v>
      </c>
    </row>
    <row r="29" spans="1:28" ht="15.75">
      <c r="A29" s="358" t="s">
        <v>13</v>
      </c>
      <c r="B29" s="35">
        <f>VLOOKUP(A29,VegetableChemicals,6,FALSE)</f>
        <v>0</v>
      </c>
      <c r="C29" s="14" t="str">
        <f>VLOOKUP(A29,Herbicides,4,FALSE)</f>
        <v>None</v>
      </c>
      <c r="D29" s="359">
        <v>0</v>
      </c>
      <c r="E29" s="547">
        <f>VLOOKUP(A29,Herbicides,3,FALSE)</f>
        <v>1</v>
      </c>
      <c r="F29" s="360">
        <v>0</v>
      </c>
      <c r="G29" s="35">
        <f>VLOOKUP(A29,Herbicides,2,FALSE)</f>
        <v>0</v>
      </c>
      <c r="H29" s="37">
        <f t="shared" si="6"/>
        <v>0</v>
      </c>
      <c r="I29" s="15"/>
      <c r="J29" s="51"/>
      <c r="K29" s="358" t="s">
        <v>13</v>
      </c>
      <c r="L29" s="35">
        <f>VLOOKUP(K29,VegetableChemicals,6,FALSE)</f>
        <v>0</v>
      </c>
      <c r="M29" s="14" t="str">
        <f>VLOOKUP(K29,Herbicides,4,FALSE)</f>
        <v>None</v>
      </c>
      <c r="N29" s="359">
        <v>0</v>
      </c>
      <c r="O29" s="547">
        <f>VLOOKUP(K29,Herbicides,3,FALSE)</f>
        <v>1</v>
      </c>
      <c r="P29" s="360">
        <v>0</v>
      </c>
      <c r="Q29" s="35">
        <f>VLOOKUP(K29,Herbicides,2,FALSE)</f>
        <v>0</v>
      </c>
      <c r="R29" s="37">
        <f t="shared" si="7"/>
        <v>0</v>
      </c>
      <c r="S29" s="51"/>
      <c r="T29" s="51"/>
      <c r="U29" s="358" t="s">
        <v>13</v>
      </c>
      <c r="V29" s="35">
        <f>VLOOKUP(U29,VegetableChemicals,6,FALSE)</f>
        <v>0</v>
      </c>
      <c r="W29" s="14" t="str">
        <f>VLOOKUP(U29,Herbicides,4,FALSE)</f>
        <v>None</v>
      </c>
      <c r="X29" s="359">
        <v>0</v>
      </c>
      <c r="Y29" s="547">
        <f>VLOOKUP(U29,Herbicides,3,FALSE)</f>
        <v>1</v>
      </c>
      <c r="Z29" s="360">
        <v>0</v>
      </c>
      <c r="AA29" s="35">
        <f>VLOOKUP(U29,Herbicides,2,FALSE)</f>
        <v>0</v>
      </c>
      <c r="AB29" s="37">
        <f t="shared" si="8"/>
        <v>0</v>
      </c>
    </row>
    <row r="30" spans="1:28" ht="15.75">
      <c r="A30" s="39"/>
      <c r="B30" s="40"/>
      <c r="C30" s="41"/>
      <c r="D30" s="110"/>
      <c r="E30" s="92"/>
      <c r="F30" s="111"/>
      <c r="G30" s="8"/>
      <c r="H30" s="37"/>
      <c r="I30" s="15"/>
      <c r="J30" s="51"/>
      <c r="K30" s="39"/>
      <c r="L30" s="40"/>
      <c r="M30" s="41"/>
      <c r="N30" s="110"/>
      <c r="O30" s="92"/>
      <c r="P30" s="111"/>
      <c r="Q30" s="8"/>
      <c r="R30" s="37"/>
      <c r="S30" s="51"/>
      <c r="T30" s="51"/>
      <c r="U30" s="39"/>
      <c r="V30" s="40"/>
      <c r="W30" s="41"/>
      <c r="X30" s="110"/>
      <c r="Y30" s="92"/>
      <c r="Z30" s="111"/>
      <c r="AA30" s="8"/>
      <c r="AB30" s="37"/>
    </row>
    <row r="31" spans="1:28" ht="15.75">
      <c r="A31" s="39"/>
      <c r="B31" s="40"/>
      <c r="C31" s="41"/>
      <c r="D31" s="110"/>
      <c r="E31" s="112"/>
      <c r="F31" s="111"/>
      <c r="G31" s="8"/>
      <c r="H31" s="37"/>
      <c r="I31" s="15"/>
      <c r="J31" s="51"/>
      <c r="K31" s="39"/>
      <c r="L31" s="40"/>
      <c r="M31" s="41"/>
      <c r="N31" s="110"/>
      <c r="O31" s="112"/>
      <c r="P31" s="111"/>
      <c r="Q31" s="8"/>
      <c r="R31" s="37"/>
      <c r="S31" s="51"/>
      <c r="T31" s="51"/>
      <c r="U31" s="39"/>
      <c r="V31" s="40"/>
      <c r="W31" s="41"/>
      <c r="X31" s="110"/>
      <c r="Y31" s="112"/>
      <c r="Z31" s="111"/>
      <c r="AA31" s="8"/>
      <c r="AB31" s="37"/>
    </row>
    <row r="32" spans="1:28" ht="15.75">
      <c r="A32" s="113" t="s">
        <v>243</v>
      </c>
      <c r="B32" s="106"/>
      <c r="C32" s="16"/>
      <c r="D32" s="67" t="s">
        <v>128</v>
      </c>
      <c r="E32" s="124"/>
      <c r="F32" s="67" t="s">
        <v>128</v>
      </c>
      <c r="G32" s="30"/>
      <c r="H32" s="108"/>
      <c r="I32" s="109"/>
      <c r="J32" s="51"/>
      <c r="K32" s="113" t="s">
        <v>243</v>
      </c>
      <c r="L32" s="106"/>
      <c r="M32" s="16"/>
      <c r="N32" s="67" t="s">
        <v>128</v>
      </c>
      <c r="O32" s="124"/>
      <c r="P32" s="67" t="s">
        <v>128</v>
      </c>
      <c r="Q32" s="30"/>
      <c r="R32" s="108"/>
      <c r="S32" s="51"/>
      <c r="T32" s="51"/>
      <c r="U32" s="113" t="s">
        <v>243</v>
      </c>
      <c r="V32" s="106"/>
      <c r="W32" s="16"/>
      <c r="X32" s="67" t="s">
        <v>128</v>
      </c>
      <c r="Y32" s="124"/>
      <c r="Z32" s="67" t="s">
        <v>128</v>
      </c>
      <c r="AA32" s="30"/>
      <c r="AB32" s="108"/>
    </row>
    <row r="33" spans="1:28" ht="15.75">
      <c r="A33" s="358" t="s">
        <v>13</v>
      </c>
      <c r="B33" s="114"/>
      <c r="C33" s="14" t="str">
        <f>VLOOKUP(A33,Adjuvants,4,FALSE)</f>
        <v>None</v>
      </c>
      <c r="D33" s="359">
        <v>0</v>
      </c>
      <c r="E33" s="548">
        <f>VLOOKUP(A33,Adjuvants,3,FALSE)</f>
        <v>1</v>
      </c>
      <c r="F33" s="360">
        <v>0</v>
      </c>
      <c r="G33" s="35">
        <f>VLOOKUP(A33,Adjuvants,2,FALSE)</f>
        <v>0</v>
      </c>
      <c r="H33" s="37">
        <f t="shared" ref="H33:H37" si="9">F33/E33*D33</f>
        <v>0</v>
      </c>
      <c r="I33" s="15"/>
      <c r="J33" s="51"/>
      <c r="K33" s="358" t="s">
        <v>13</v>
      </c>
      <c r="L33" s="114"/>
      <c r="M33" s="14" t="str">
        <f>VLOOKUP(K33,Adjuvants,4,FALSE)</f>
        <v>None</v>
      </c>
      <c r="N33" s="359">
        <v>0</v>
      </c>
      <c r="O33" s="548">
        <f>VLOOKUP(K33,Adjuvants,3,FALSE)</f>
        <v>1</v>
      </c>
      <c r="P33" s="360">
        <v>0</v>
      </c>
      <c r="Q33" s="35">
        <f>VLOOKUP(K33,Adjuvants,2,FALSE)</f>
        <v>0</v>
      </c>
      <c r="R33" s="37">
        <f t="shared" ref="R33:R37" si="10">P33/O33*N33</f>
        <v>0</v>
      </c>
      <c r="S33" s="51"/>
      <c r="T33" s="51"/>
      <c r="U33" s="358" t="s">
        <v>13</v>
      </c>
      <c r="V33" s="114"/>
      <c r="W33" s="14" t="str">
        <f>VLOOKUP(U33,Adjuvants,4,FALSE)</f>
        <v>None</v>
      </c>
      <c r="X33" s="359">
        <v>0</v>
      </c>
      <c r="Y33" s="548">
        <f>VLOOKUP(U33,Adjuvants,3,FALSE)</f>
        <v>1</v>
      </c>
      <c r="Z33" s="360">
        <v>0</v>
      </c>
      <c r="AA33" s="35">
        <f>VLOOKUP(U33,Adjuvants,2,FALSE)</f>
        <v>0</v>
      </c>
      <c r="AB33" s="37">
        <f t="shared" ref="AB33:AB37" si="11">Z33/Y33*X33</f>
        <v>0</v>
      </c>
    </row>
    <row r="34" spans="1:28" ht="15.75">
      <c r="A34" s="358" t="s">
        <v>13</v>
      </c>
      <c r="B34" s="114"/>
      <c r="C34" s="14" t="str">
        <f>VLOOKUP(A34,Adjuvants,4,FALSE)</f>
        <v>None</v>
      </c>
      <c r="D34" s="359">
        <v>0</v>
      </c>
      <c r="E34" s="548">
        <f>VLOOKUP(A34,Adjuvants,3,FALSE)</f>
        <v>1</v>
      </c>
      <c r="F34" s="360">
        <v>0</v>
      </c>
      <c r="G34" s="35">
        <f>VLOOKUP(A34,Adjuvants,2,FALSE)</f>
        <v>0</v>
      </c>
      <c r="H34" s="37">
        <f t="shared" si="9"/>
        <v>0</v>
      </c>
      <c r="I34" s="15"/>
      <c r="J34" s="51"/>
      <c r="K34" s="358" t="s">
        <v>13</v>
      </c>
      <c r="L34" s="114"/>
      <c r="M34" s="14" t="str">
        <f>VLOOKUP(K34,Adjuvants,4,FALSE)</f>
        <v>None</v>
      </c>
      <c r="N34" s="359">
        <v>0</v>
      </c>
      <c r="O34" s="548">
        <f>VLOOKUP(K34,Adjuvants,3,FALSE)</f>
        <v>1</v>
      </c>
      <c r="P34" s="360">
        <v>0</v>
      </c>
      <c r="Q34" s="35">
        <f>VLOOKUP(K34,Adjuvants,2,FALSE)</f>
        <v>0</v>
      </c>
      <c r="R34" s="37">
        <f t="shared" si="10"/>
        <v>0</v>
      </c>
      <c r="S34" s="51"/>
      <c r="T34" s="51"/>
      <c r="U34" s="358" t="s">
        <v>13</v>
      </c>
      <c r="V34" s="114"/>
      <c r="W34" s="14" t="str">
        <f>VLOOKUP(U34,Adjuvants,4,FALSE)</f>
        <v>None</v>
      </c>
      <c r="X34" s="359">
        <v>0</v>
      </c>
      <c r="Y34" s="548">
        <f>VLOOKUP(U34,Adjuvants,3,FALSE)</f>
        <v>1</v>
      </c>
      <c r="Z34" s="360">
        <v>0</v>
      </c>
      <c r="AA34" s="35">
        <f>VLOOKUP(U34,Adjuvants,2,FALSE)</f>
        <v>0</v>
      </c>
      <c r="AB34" s="37">
        <f t="shared" si="11"/>
        <v>0</v>
      </c>
    </row>
    <row r="35" spans="1:28" ht="15.75">
      <c r="A35" s="358" t="s">
        <v>13</v>
      </c>
      <c r="B35" s="114"/>
      <c r="C35" s="14" t="str">
        <f>VLOOKUP(A35,Adjuvants,4,FALSE)</f>
        <v>None</v>
      </c>
      <c r="D35" s="359">
        <v>0</v>
      </c>
      <c r="E35" s="548">
        <f>VLOOKUP(A35,Adjuvants,3,FALSE)</f>
        <v>1</v>
      </c>
      <c r="F35" s="360">
        <v>0</v>
      </c>
      <c r="G35" s="35">
        <f>VLOOKUP(A35,Adjuvants,2,FALSE)</f>
        <v>0</v>
      </c>
      <c r="H35" s="37">
        <f t="shared" si="9"/>
        <v>0</v>
      </c>
      <c r="I35" s="15"/>
      <c r="J35" s="51"/>
      <c r="K35" s="358" t="s">
        <v>13</v>
      </c>
      <c r="L35" s="114"/>
      <c r="M35" s="14" t="str">
        <f>VLOOKUP(K35,Adjuvants,4,FALSE)</f>
        <v>None</v>
      </c>
      <c r="N35" s="359">
        <v>0</v>
      </c>
      <c r="O35" s="548">
        <f>VLOOKUP(K35,Adjuvants,3,FALSE)</f>
        <v>1</v>
      </c>
      <c r="P35" s="360">
        <v>0</v>
      </c>
      <c r="Q35" s="35">
        <f>VLOOKUP(K35,Adjuvants,2,FALSE)</f>
        <v>0</v>
      </c>
      <c r="R35" s="37">
        <f t="shared" si="10"/>
        <v>0</v>
      </c>
      <c r="S35" s="51"/>
      <c r="T35" s="51"/>
      <c r="U35" s="358" t="s">
        <v>13</v>
      </c>
      <c r="V35" s="114"/>
      <c r="W35" s="14" t="str">
        <f>VLOOKUP(U35,Adjuvants,4,FALSE)</f>
        <v>None</v>
      </c>
      <c r="X35" s="359">
        <v>0</v>
      </c>
      <c r="Y35" s="548">
        <f>VLOOKUP(U35,Adjuvants,3,FALSE)</f>
        <v>1</v>
      </c>
      <c r="Z35" s="360">
        <v>0</v>
      </c>
      <c r="AA35" s="35">
        <f>VLOOKUP(U35,Adjuvants,2,FALSE)</f>
        <v>0</v>
      </c>
      <c r="AB35" s="37">
        <f t="shared" si="11"/>
        <v>0</v>
      </c>
    </row>
    <row r="36" spans="1:28" ht="15.75">
      <c r="A36" s="358" t="s">
        <v>13</v>
      </c>
      <c r="B36" s="114"/>
      <c r="C36" s="14" t="str">
        <f>VLOOKUP(A36,Adjuvants,4,FALSE)</f>
        <v>None</v>
      </c>
      <c r="D36" s="359">
        <v>0</v>
      </c>
      <c r="E36" s="548">
        <f>VLOOKUP(A36,Adjuvants,3,FALSE)</f>
        <v>1</v>
      </c>
      <c r="F36" s="360">
        <v>0</v>
      </c>
      <c r="G36" s="35">
        <f>VLOOKUP(A36,Adjuvants,2,FALSE)</f>
        <v>0</v>
      </c>
      <c r="H36" s="37">
        <f t="shared" si="9"/>
        <v>0</v>
      </c>
      <c r="I36" s="15"/>
      <c r="J36" s="308" t="s">
        <v>255</v>
      </c>
      <c r="K36" s="358" t="s">
        <v>13</v>
      </c>
      <c r="L36" s="114"/>
      <c r="M36" s="14" t="str">
        <f>VLOOKUP(K36,Adjuvants,4,FALSE)</f>
        <v>None</v>
      </c>
      <c r="N36" s="359">
        <v>0</v>
      </c>
      <c r="O36" s="548">
        <f>VLOOKUP(K36,Adjuvants,3,FALSE)</f>
        <v>1</v>
      </c>
      <c r="P36" s="360">
        <v>0</v>
      </c>
      <c r="Q36" s="35">
        <f>VLOOKUP(K36,Adjuvants,2,FALSE)</f>
        <v>0</v>
      </c>
      <c r="R36" s="37">
        <f t="shared" si="10"/>
        <v>0</v>
      </c>
      <c r="S36" s="51"/>
      <c r="T36" s="308" t="s">
        <v>255</v>
      </c>
      <c r="U36" s="358" t="s">
        <v>13</v>
      </c>
      <c r="V36" s="114"/>
      <c r="W36" s="14" t="str">
        <f>VLOOKUP(U36,Adjuvants,4,FALSE)</f>
        <v>None</v>
      </c>
      <c r="X36" s="359">
        <v>0</v>
      </c>
      <c r="Y36" s="548">
        <f>VLOOKUP(U36,Adjuvants,3,FALSE)</f>
        <v>1</v>
      </c>
      <c r="Z36" s="360">
        <v>0</v>
      </c>
      <c r="AA36" s="35">
        <f>VLOOKUP(U36,Adjuvants,2,FALSE)</f>
        <v>0</v>
      </c>
      <c r="AB36" s="37">
        <f t="shared" si="11"/>
        <v>0</v>
      </c>
    </row>
    <row r="37" spans="1:28" ht="15.75">
      <c r="A37" s="358" t="s">
        <v>13</v>
      </c>
      <c r="B37" s="114"/>
      <c r="C37" s="14" t="str">
        <f>VLOOKUP(A37,Adjuvants,4,FALSE)</f>
        <v>None</v>
      </c>
      <c r="D37" s="359">
        <v>0</v>
      </c>
      <c r="E37" s="548">
        <f>VLOOKUP(A37,Adjuvants,3,FALSE)</f>
        <v>1</v>
      </c>
      <c r="F37" s="360">
        <v>0</v>
      </c>
      <c r="G37" s="35">
        <f>VLOOKUP(A37,Adjuvants,2,FALSE)</f>
        <v>0</v>
      </c>
      <c r="H37" s="37">
        <f t="shared" si="9"/>
        <v>0</v>
      </c>
      <c r="I37" s="15"/>
      <c r="J37" s="308" t="s">
        <v>256</v>
      </c>
      <c r="K37" s="358" t="s">
        <v>13</v>
      </c>
      <c r="L37" s="114"/>
      <c r="M37" s="14" t="str">
        <f>VLOOKUP(K37,Adjuvants,4,FALSE)</f>
        <v>None</v>
      </c>
      <c r="N37" s="359">
        <v>0</v>
      </c>
      <c r="O37" s="548">
        <f>VLOOKUP(K37,Adjuvants,3,FALSE)</f>
        <v>1</v>
      </c>
      <c r="P37" s="360">
        <v>0</v>
      </c>
      <c r="Q37" s="35">
        <f>VLOOKUP(K37,Adjuvants,2,FALSE)</f>
        <v>0</v>
      </c>
      <c r="R37" s="37">
        <f t="shared" si="10"/>
        <v>0</v>
      </c>
      <c r="S37" s="51"/>
      <c r="T37" s="308" t="s">
        <v>256</v>
      </c>
      <c r="U37" s="358" t="s">
        <v>13</v>
      </c>
      <c r="V37" s="114"/>
      <c r="W37" s="14" t="str">
        <f>VLOOKUP(U37,Adjuvants,4,FALSE)</f>
        <v>None</v>
      </c>
      <c r="X37" s="359">
        <v>0</v>
      </c>
      <c r="Y37" s="548">
        <f>VLOOKUP(U37,Adjuvants,3,FALSE)</f>
        <v>1</v>
      </c>
      <c r="Z37" s="360">
        <v>0</v>
      </c>
      <c r="AA37" s="35">
        <f>VLOOKUP(U37,Adjuvants,2,FALSE)</f>
        <v>0</v>
      </c>
      <c r="AB37" s="37">
        <f t="shared" si="11"/>
        <v>0</v>
      </c>
    </row>
    <row r="38" spans="1:28" ht="15.75">
      <c r="A38" s="39"/>
      <c r="B38" s="114"/>
      <c r="C38" s="33"/>
      <c r="D38" s="34"/>
      <c r="E38" s="35"/>
      <c r="F38" s="36"/>
      <c r="G38" s="35"/>
      <c r="H38" s="37"/>
      <c r="I38" s="38"/>
      <c r="J38" s="954" t="s">
        <v>254</v>
      </c>
      <c r="K38" s="39"/>
      <c r="L38" s="114"/>
      <c r="M38" s="33"/>
      <c r="N38" s="34"/>
      <c r="O38" s="35"/>
      <c r="P38" s="36"/>
      <c r="Q38" s="35"/>
      <c r="R38" s="37"/>
      <c r="S38" s="2"/>
      <c r="T38" s="954" t="s">
        <v>254</v>
      </c>
      <c r="U38" s="39"/>
      <c r="V38" s="114"/>
      <c r="W38" s="33"/>
      <c r="X38" s="34"/>
      <c r="Y38" s="35"/>
      <c r="Z38" s="36"/>
      <c r="AA38" s="35"/>
      <c r="AB38" s="37"/>
    </row>
    <row r="39" spans="1:28" ht="15.75">
      <c r="A39" s="39"/>
      <c r="B39" s="32"/>
      <c r="C39" s="33"/>
      <c r="D39" s="34"/>
      <c r="E39" s="35"/>
      <c r="F39" s="36"/>
      <c r="G39" s="35"/>
      <c r="H39" s="37"/>
      <c r="I39" s="38"/>
      <c r="J39" s="954"/>
      <c r="K39" s="39"/>
      <c r="L39" s="32"/>
      <c r="M39" s="33"/>
      <c r="N39" s="34"/>
      <c r="O39" s="35"/>
      <c r="P39" s="36"/>
      <c r="Q39" s="35"/>
      <c r="R39" s="37"/>
      <c r="S39" s="2"/>
      <c r="T39" s="954"/>
      <c r="U39" s="39"/>
      <c r="V39" s="32"/>
      <c r="W39" s="33"/>
      <c r="X39" s="34"/>
      <c r="Y39" s="35"/>
      <c r="Z39" s="36"/>
      <c r="AA39" s="35"/>
      <c r="AB39" s="37"/>
    </row>
    <row r="40" spans="1:28" ht="16.5" thickBot="1">
      <c r="A40" s="266" t="s">
        <v>896</v>
      </c>
      <c r="B40" s="267"/>
      <c r="C40" s="263"/>
      <c r="D40" s="263"/>
      <c r="E40" s="263"/>
      <c r="F40" s="263"/>
      <c r="G40" s="264"/>
      <c r="H40" s="265">
        <f>SUM(H25:H37)</f>
        <v>0</v>
      </c>
      <c r="I40" s="116"/>
      <c r="J40" s="2"/>
      <c r="K40" s="266" t="s">
        <v>896</v>
      </c>
      <c r="L40" s="267"/>
      <c r="M40" s="263"/>
      <c r="N40" s="263"/>
      <c r="O40" s="263"/>
      <c r="P40" s="263"/>
      <c r="Q40" s="264"/>
      <c r="R40" s="265">
        <f>SUM(R25:R37)</f>
        <v>0</v>
      </c>
      <c r="S40" s="2"/>
      <c r="T40" s="2"/>
      <c r="U40" s="266" t="s">
        <v>896</v>
      </c>
      <c r="V40" s="267"/>
      <c r="W40" s="263"/>
      <c r="X40" s="263"/>
      <c r="Y40" s="263"/>
      <c r="Z40" s="263"/>
      <c r="AA40" s="264"/>
      <c r="AB40" s="265">
        <f>SUM(AB25:AB37)</f>
        <v>0</v>
      </c>
    </row>
    <row r="41" spans="1:28" ht="16.5" thickTop="1">
      <c r="A41" s="95"/>
      <c r="B41" s="117"/>
      <c r="C41" s="118"/>
      <c r="D41" s="118"/>
      <c r="E41" s="118"/>
      <c r="F41" s="118"/>
      <c r="G41" s="119"/>
      <c r="H41" s="120"/>
      <c r="I41" s="116"/>
      <c r="J41" s="2"/>
      <c r="K41" s="95"/>
      <c r="L41" s="117"/>
      <c r="M41" s="118"/>
      <c r="N41" s="118"/>
      <c r="O41" s="118"/>
      <c r="P41" s="118"/>
      <c r="Q41" s="119"/>
      <c r="R41" s="120"/>
      <c r="S41" s="2"/>
      <c r="T41" s="2"/>
      <c r="U41" s="95"/>
      <c r="V41" s="117"/>
      <c r="W41" s="118"/>
      <c r="X41" s="118"/>
      <c r="Y41" s="118"/>
      <c r="Z41" s="118"/>
      <c r="AA41" s="119"/>
      <c r="AB41" s="120"/>
    </row>
    <row r="42" spans="1:28" ht="16.5" thickBot="1">
      <c r="A42" s="31"/>
      <c r="B42" s="32"/>
      <c r="C42" s="33"/>
      <c r="D42" s="34"/>
      <c r="E42" s="35"/>
      <c r="F42" s="36"/>
      <c r="G42" s="35"/>
      <c r="H42" s="37"/>
      <c r="I42" s="38"/>
      <c r="J42" s="2"/>
      <c r="K42" s="31"/>
      <c r="L42" s="32"/>
      <c r="M42" s="33"/>
      <c r="N42" s="34"/>
      <c r="O42" s="35"/>
      <c r="P42" s="36"/>
      <c r="Q42" s="35"/>
      <c r="R42" s="37"/>
      <c r="S42" s="2"/>
      <c r="T42" s="2"/>
      <c r="U42" s="31"/>
      <c r="V42" s="32"/>
      <c r="W42" s="33"/>
      <c r="X42" s="34"/>
      <c r="Y42" s="35"/>
      <c r="Z42" s="36"/>
      <c r="AA42" s="35"/>
      <c r="AB42" s="37"/>
    </row>
    <row r="43" spans="1:28" ht="16.5" thickBot="1">
      <c r="A43" s="950" t="s">
        <v>212</v>
      </c>
      <c r="B43" s="951"/>
      <c r="C43" s="951"/>
      <c r="D43" s="951"/>
      <c r="E43" s="951"/>
      <c r="F43" s="951"/>
      <c r="G43" s="951"/>
      <c r="H43" s="952"/>
      <c r="I43" s="52"/>
      <c r="J43" s="2"/>
      <c r="K43" s="950" t="s">
        <v>212</v>
      </c>
      <c r="L43" s="951"/>
      <c r="M43" s="951"/>
      <c r="N43" s="951"/>
      <c r="O43" s="951"/>
      <c r="P43" s="951"/>
      <c r="Q43" s="951"/>
      <c r="R43" s="952"/>
      <c r="S43" s="2"/>
      <c r="T43" s="2"/>
      <c r="U43" s="950" t="s">
        <v>212</v>
      </c>
      <c r="V43" s="951"/>
      <c r="W43" s="951"/>
      <c r="X43" s="951"/>
      <c r="Y43" s="951"/>
      <c r="Z43" s="951"/>
      <c r="AA43" s="951"/>
      <c r="AB43" s="952"/>
    </row>
    <row r="44" spans="1:28" ht="31.5">
      <c r="A44" s="100" t="s">
        <v>105</v>
      </c>
      <c r="B44" s="101" t="s">
        <v>153</v>
      </c>
      <c r="C44" s="102" t="s">
        <v>106</v>
      </c>
      <c r="D44" s="101" t="s">
        <v>107</v>
      </c>
      <c r="E44" s="102" t="s">
        <v>12</v>
      </c>
      <c r="F44" s="102" t="s">
        <v>108</v>
      </c>
      <c r="G44" s="101" t="s">
        <v>211</v>
      </c>
      <c r="H44" s="103" t="s">
        <v>109</v>
      </c>
      <c r="I44" s="104"/>
      <c r="J44" s="2"/>
      <c r="K44" s="100" t="s">
        <v>105</v>
      </c>
      <c r="L44" s="101" t="s">
        <v>153</v>
      </c>
      <c r="M44" s="102" t="s">
        <v>106</v>
      </c>
      <c r="N44" s="101" t="s">
        <v>107</v>
      </c>
      <c r="O44" s="102" t="s">
        <v>12</v>
      </c>
      <c r="P44" s="102" t="s">
        <v>108</v>
      </c>
      <c r="Q44" s="101" t="s">
        <v>211</v>
      </c>
      <c r="R44" s="103" t="s">
        <v>109</v>
      </c>
      <c r="S44" s="2"/>
      <c r="T44" s="2"/>
      <c r="U44" s="100" t="s">
        <v>105</v>
      </c>
      <c r="V44" s="101" t="s">
        <v>153</v>
      </c>
      <c r="W44" s="102" t="s">
        <v>106</v>
      </c>
      <c r="X44" s="101" t="s">
        <v>107</v>
      </c>
      <c r="Y44" s="102" t="s">
        <v>12</v>
      </c>
      <c r="Z44" s="102" t="s">
        <v>108</v>
      </c>
      <c r="AA44" s="101" t="s">
        <v>211</v>
      </c>
      <c r="AB44" s="103" t="s">
        <v>109</v>
      </c>
    </row>
    <row r="45" spans="1:28" ht="15.75">
      <c r="A45" s="105" t="s">
        <v>244</v>
      </c>
      <c r="B45" s="106"/>
      <c r="C45" s="48"/>
      <c r="D45" s="68" t="s">
        <v>128</v>
      </c>
      <c r="E45" s="125"/>
      <c r="F45" s="68" t="s">
        <v>128</v>
      </c>
      <c r="G45" s="30"/>
      <c r="H45" s="108"/>
      <c r="I45" s="104"/>
      <c r="J45" s="2"/>
      <c r="K45" s="105" t="s">
        <v>244</v>
      </c>
      <c r="L45" s="106"/>
      <c r="M45" s="48"/>
      <c r="N45" s="68" t="s">
        <v>128</v>
      </c>
      <c r="O45" s="125"/>
      <c r="P45" s="68" t="s">
        <v>128</v>
      </c>
      <c r="Q45" s="30"/>
      <c r="R45" s="108"/>
      <c r="S45" s="2"/>
      <c r="T45" s="2"/>
      <c r="U45" s="105" t="s">
        <v>244</v>
      </c>
      <c r="V45" s="106"/>
      <c r="W45" s="48"/>
      <c r="X45" s="68" t="s">
        <v>128</v>
      </c>
      <c r="Y45" s="125"/>
      <c r="Z45" s="68" t="s">
        <v>128</v>
      </c>
      <c r="AA45" s="30"/>
      <c r="AB45" s="108"/>
    </row>
    <row r="46" spans="1:28" ht="15.75">
      <c r="A46" s="358" t="s">
        <v>13</v>
      </c>
      <c r="B46" s="106"/>
      <c r="C46" s="14" t="str">
        <f t="shared" ref="C46:C55" si="12">VLOOKUP(A46,Fungicides,4,FALSE)</f>
        <v>None</v>
      </c>
      <c r="D46" s="359">
        <v>0</v>
      </c>
      <c r="E46" s="548">
        <f t="shared" ref="E46:E55" si="13">VLOOKUP(A46,Fungicides,3,FALSE)</f>
        <v>1</v>
      </c>
      <c r="F46" s="360">
        <v>0</v>
      </c>
      <c r="G46" s="35">
        <f t="shared" ref="G46:G55" si="14">VLOOKUP(A46,Fungicides,2,FALSE)</f>
        <v>0</v>
      </c>
      <c r="H46" s="37">
        <f>F46/E46*D46</f>
        <v>0</v>
      </c>
      <c r="I46" s="15"/>
      <c r="J46" s="51"/>
      <c r="K46" s="358" t="s">
        <v>13</v>
      </c>
      <c r="L46" s="106"/>
      <c r="M46" s="14" t="str">
        <f t="shared" ref="M46:M55" si="15">VLOOKUP(K46,Fungicides,4,FALSE)</f>
        <v>None</v>
      </c>
      <c r="N46" s="359">
        <v>0</v>
      </c>
      <c r="O46" s="548">
        <f t="shared" ref="O46:O55" si="16">VLOOKUP(K46,Fungicides,3,FALSE)</f>
        <v>1</v>
      </c>
      <c r="P46" s="360">
        <v>0</v>
      </c>
      <c r="Q46" s="35">
        <f t="shared" ref="Q46:Q55" si="17">VLOOKUP(K46,Fungicides,2,FALSE)</f>
        <v>0</v>
      </c>
      <c r="R46" s="37">
        <f>P46/O46*N46</f>
        <v>0</v>
      </c>
      <c r="S46" s="51"/>
      <c r="T46" s="51"/>
      <c r="U46" s="358" t="s">
        <v>13</v>
      </c>
      <c r="V46" s="106"/>
      <c r="W46" s="14" t="str">
        <f t="shared" ref="W46:W55" si="18">VLOOKUP(U46,Fungicides,4,FALSE)</f>
        <v>None</v>
      </c>
      <c r="X46" s="359">
        <v>0</v>
      </c>
      <c r="Y46" s="548">
        <f t="shared" ref="Y46:Y55" si="19">VLOOKUP(U46,Fungicides,3,FALSE)</f>
        <v>1</v>
      </c>
      <c r="Z46" s="360">
        <v>0</v>
      </c>
      <c r="AA46" s="35">
        <f t="shared" ref="AA46:AA55" si="20">VLOOKUP(U46,Fungicides,2,FALSE)</f>
        <v>0</v>
      </c>
      <c r="AB46" s="37">
        <f>Z46/Y46*X46</f>
        <v>0</v>
      </c>
    </row>
    <row r="47" spans="1:28" ht="15.75">
      <c r="A47" s="358" t="s">
        <v>13</v>
      </c>
      <c r="B47" s="106"/>
      <c r="C47" s="14" t="str">
        <f t="shared" si="12"/>
        <v>None</v>
      </c>
      <c r="D47" s="359">
        <v>0</v>
      </c>
      <c r="E47" s="548">
        <f t="shared" si="13"/>
        <v>1</v>
      </c>
      <c r="F47" s="360">
        <v>0</v>
      </c>
      <c r="G47" s="35">
        <f t="shared" si="14"/>
        <v>0</v>
      </c>
      <c r="H47" s="37">
        <f t="shared" ref="H47:H50" si="21">F47/E47*D47</f>
        <v>0</v>
      </c>
      <c r="I47" s="15"/>
      <c r="J47" s="51"/>
      <c r="K47" s="358" t="s">
        <v>13</v>
      </c>
      <c r="L47" s="106"/>
      <c r="M47" s="14" t="str">
        <f t="shared" si="15"/>
        <v>None</v>
      </c>
      <c r="N47" s="359">
        <v>0</v>
      </c>
      <c r="O47" s="548">
        <f t="shared" si="16"/>
        <v>1</v>
      </c>
      <c r="P47" s="360">
        <v>0</v>
      </c>
      <c r="Q47" s="35">
        <f t="shared" si="17"/>
        <v>0</v>
      </c>
      <c r="R47" s="37">
        <f t="shared" ref="R47:R50" si="22">P47/O47*N47</f>
        <v>0</v>
      </c>
      <c r="S47" s="51"/>
      <c r="T47" s="51"/>
      <c r="U47" s="358" t="s">
        <v>13</v>
      </c>
      <c r="V47" s="106"/>
      <c r="W47" s="14" t="str">
        <f t="shared" si="18"/>
        <v>None</v>
      </c>
      <c r="X47" s="359">
        <v>0</v>
      </c>
      <c r="Y47" s="548">
        <f t="shared" si="19"/>
        <v>1</v>
      </c>
      <c r="Z47" s="360">
        <v>0</v>
      </c>
      <c r="AA47" s="35">
        <f t="shared" si="20"/>
        <v>0</v>
      </c>
      <c r="AB47" s="37">
        <f t="shared" ref="AB47:AB50" si="23">Z47/Y47*X47</f>
        <v>0</v>
      </c>
    </row>
    <row r="48" spans="1:28" ht="15.75">
      <c r="A48" s="358" t="s">
        <v>13</v>
      </c>
      <c r="B48" s="106"/>
      <c r="C48" s="14" t="str">
        <f t="shared" si="12"/>
        <v>None</v>
      </c>
      <c r="D48" s="359">
        <v>0</v>
      </c>
      <c r="E48" s="548">
        <f t="shared" si="13"/>
        <v>1</v>
      </c>
      <c r="F48" s="360">
        <v>0</v>
      </c>
      <c r="G48" s="35">
        <f t="shared" si="14"/>
        <v>0</v>
      </c>
      <c r="H48" s="37">
        <f t="shared" si="21"/>
        <v>0</v>
      </c>
      <c r="I48" s="15"/>
      <c r="J48" s="51"/>
      <c r="K48" s="358" t="s">
        <v>13</v>
      </c>
      <c r="L48" s="106"/>
      <c r="M48" s="14" t="str">
        <f t="shared" si="15"/>
        <v>None</v>
      </c>
      <c r="N48" s="359">
        <v>0</v>
      </c>
      <c r="O48" s="548">
        <f t="shared" si="16"/>
        <v>1</v>
      </c>
      <c r="P48" s="360">
        <v>0</v>
      </c>
      <c r="Q48" s="35">
        <f t="shared" si="17"/>
        <v>0</v>
      </c>
      <c r="R48" s="37">
        <f t="shared" si="22"/>
        <v>0</v>
      </c>
      <c r="S48" s="51"/>
      <c r="T48" s="51"/>
      <c r="U48" s="358" t="s">
        <v>13</v>
      </c>
      <c r="V48" s="106"/>
      <c r="W48" s="14" t="str">
        <f t="shared" si="18"/>
        <v>None</v>
      </c>
      <c r="X48" s="359">
        <v>0</v>
      </c>
      <c r="Y48" s="548">
        <f t="shared" si="19"/>
        <v>1</v>
      </c>
      <c r="Z48" s="360">
        <v>0</v>
      </c>
      <c r="AA48" s="35">
        <f t="shared" si="20"/>
        <v>0</v>
      </c>
      <c r="AB48" s="37">
        <f t="shared" si="23"/>
        <v>0</v>
      </c>
    </row>
    <row r="49" spans="1:28" ht="15.75">
      <c r="A49" s="358" t="s">
        <v>13</v>
      </c>
      <c r="B49" s="106"/>
      <c r="C49" s="14" t="str">
        <f t="shared" si="12"/>
        <v>None</v>
      </c>
      <c r="D49" s="359">
        <v>0</v>
      </c>
      <c r="E49" s="548">
        <f t="shared" si="13"/>
        <v>1</v>
      </c>
      <c r="F49" s="360">
        <v>0</v>
      </c>
      <c r="G49" s="35">
        <f t="shared" si="14"/>
        <v>0</v>
      </c>
      <c r="H49" s="37">
        <f t="shared" si="21"/>
        <v>0</v>
      </c>
      <c r="I49" s="15"/>
      <c r="J49" s="51"/>
      <c r="K49" s="358" t="s">
        <v>13</v>
      </c>
      <c r="L49" s="106"/>
      <c r="M49" s="14" t="str">
        <f t="shared" si="15"/>
        <v>None</v>
      </c>
      <c r="N49" s="359">
        <v>0</v>
      </c>
      <c r="O49" s="548">
        <f t="shared" si="16"/>
        <v>1</v>
      </c>
      <c r="P49" s="360">
        <v>0</v>
      </c>
      <c r="Q49" s="35">
        <f t="shared" si="17"/>
        <v>0</v>
      </c>
      <c r="R49" s="37">
        <f t="shared" si="22"/>
        <v>0</v>
      </c>
      <c r="S49" s="51"/>
      <c r="T49" s="51"/>
      <c r="U49" s="358" t="s">
        <v>13</v>
      </c>
      <c r="V49" s="106"/>
      <c r="W49" s="14" t="str">
        <f t="shared" si="18"/>
        <v>None</v>
      </c>
      <c r="X49" s="359">
        <v>0</v>
      </c>
      <c r="Y49" s="548">
        <f t="shared" si="19"/>
        <v>1</v>
      </c>
      <c r="Z49" s="360">
        <v>0</v>
      </c>
      <c r="AA49" s="35">
        <f t="shared" si="20"/>
        <v>0</v>
      </c>
      <c r="AB49" s="37">
        <f t="shared" si="23"/>
        <v>0</v>
      </c>
    </row>
    <row r="50" spans="1:28" ht="15.75">
      <c r="A50" s="358" t="s">
        <v>13</v>
      </c>
      <c r="B50" s="106"/>
      <c r="C50" s="14" t="str">
        <f t="shared" si="12"/>
        <v>None</v>
      </c>
      <c r="D50" s="359">
        <v>0</v>
      </c>
      <c r="E50" s="548">
        <f t="shared" si="13"/>
        <v>1</v>
      </c>
      <c r="F50" s="360">
        <v>0</v>
      </c>
      <c r="G50" s="35">
        <f t="shared" si="14"/>
        <v>0</v>
      </c>
      <c r="H50" s="37">
        <f t="shared" si="21"/>
        <v>0</v>
      </c>
      <c r="I50" s="15"/>
      <c r="J50" s="51"/>
      <c r="K50" s="358" t="s">
        <v>13</v>
      </c>
      <c r="L50" s="106"/>
      <c r="M50" s="14" t="str">
        <f t="shared" si="15"/>
        <v>None</v>
      </c>
      <c r="N50" s="359">
        <v>0</v>
      </c>
      <c r="O50" s="548">
        <f t="shared" si="16"/>
        <v>1</v>
      </c>
      <c r="P50" s="360">
        <v>0</v>
      </c>
      <c r="Q50" s="35">
        <f t="shared" si="17"/>
        <v>0</v>
      </c>
      <c r="R50" s="37">
        <f t="shared" si="22"/>
        <v>0</v>
      </c>
      <c r="S50" s="51"/>
      <c r="T50" s="51"/>
      <c r="U50" s="358" t="s">
        <v>13</v>
      </c>
      <c r="V50" s="106"/>
      <c r="W50" s="14" t="str">
        <f t="shared" si="18"/>
        <v>None</v>
      </c>
      <c r="X50" s="359">
        <v>0</v>
      </c>
      <c r="Y50" s="548">
        <f t="shared" si="19"/>
        <v>1</v>
      </c>
      <c r="Z50" s="360">
        <v>0</v>
      </c>
      <c r="AA50" s="35">
        <f t="shared" si="20"/>
        <v>0</v>
      </c>
      <c r="AB50" s="37">
        <f t="shared" si="23"/>
        <v>0</v>
      </c>
    </row>
    <row r="51" spans="1:28" ht="15.75">
      <c r="A51" s="358" t="s">
        <v>13</v>
      </c>
      <c r="B51" s="106"/>
      <c r="C51" s="14" t="str">
        <f t="shared" si="12"/>
        <v>None</v>
      </c>
      <c r="D51" s="359">
        <v>0</v>
      </c>
      <c r="E51" s="548">
        <f t="shared" si="13"/>
        <v>1</v>
      </c>
      <c r="F51" s="360">
        <v>0</v>
      </c>
      <c r="G51" s="35">
        <f t="shared" si="14"/>
        <v>0</v>
      </c>
      <c r="H51" s="37">
        <f t="shared" ref="H51:H55" si="24">F51/E51*D51</f>
        <v>0</v>
      </c>
      <c r="I51" s="15"/>
      <c r="J51" s="51"/>
      <c r="K51" s="358" t="s">
        <v>13</v>
      </c>
      <c r="L51" s="106"/>
      <c r="M51" s="14" t="str">
        <f t="shared" si="15"/>
        <v>None</v>
      </c>
      <c r="N51" s="359">
        <v>0</v>
      </c>
      <c r="O51" s="548">
        <f t="shared" si="16"/>
        <v>1</v>
      </c>
      <c r="P51" s="360">
        <v>0</v>
      </c>
      <c r="Q51" s="35">
        <f t="shared" si="17"/>
        <v>0</v>
      </c>
      <c r="R51" s="37">
        <f t="shared" ref="R51:R55" si="25">P51/O51*N51</f>
        <v>0</v>
      </c>
      <c r="S51" s="51"/>
      <c r="T51" s="51"/>
      <c r="U51" s="358" t="s">
        <v>13</v>
      </c>
      <c r="V51" s="106"/>
      <c r="W51" s="14" t="str">
        <f t="shared" si="18"/>
        <v>None</v>
      </c>
      <c r="X51" s="359">
        <v>0</v>
      </c>
      <c r="Y51" s="548">
        <f t="shared" si="19"/>
        <v>1</v>
      </c>
      <c r="Z51" s="360">
        <v>0</v>
      </c>
      <c r="AA51" s="35">
        <f t="shared" si="20"/>
        <v>0</v>
      </c>
      <c r="AB51" s="37">
        <f t="shared" ref="AB51:AB55" si="26">Z51/Y51*X51</f>
        <v>0</v>
      </c>
    </row>
    <row r="52" spans="1:28" ht="15.75">
      <c r="A52" s="358" t="s">
        <v>13</v>
      </c>
      <c r="B52" s="106"/>
      <c r="C52" s="14" t="str">
        <f t="shared" si="12"/>
        <v>None</v>
      </c>
      <c r="D52" s="359">
        <v>0</v>
      </c>
      <c r="E52" s="548">
        <f t="shared" si="13"/>
        <v>1</v>
      </c>
      <c r="F52" s="360">
        <v>0</v>
      </c>
      <c r="G52" s="35">
        <f t="shared" si="14"/>
        <v>0</v>
      </c>
      <c r="H52" s="37">
        <f t="shared" si="24"/>
        <v>0</v>
      </c>
      <c r="I52" s="15"/>
      <c r="J52" s="51"/>
      <c r="K52" s="358" t="s">
        <v>13</v>
      </c>
      <c r="L52" s="106"/>
      <c r="M52" s="14" t="str">
        <f t="shared" si="15"/>
        <v>None</v>
      </c>
      <c r="N52" s="359">
        <v>0</v>
      </c>
      <c r="O52" s="548">
        <f t="shared" si="16"/>
        <v>1</v>
      </c>
      <c r="P52" s="360">
        <v>0</v>
      </c>
      <c r="Q52" s="35">
        <f t="shared" si="17"/>
        <v>0</v>
      </c>
      <c r="R52" s="37">
        <f t="shared" si="25"/>
        <v>0</v>
      </c>
      <c r="S52" s="51"/>
      <c r="T52" s="51"/>
      <c r="U52" s="358" t="s">
        <v>13</v>
      </c>
      <c r="V52" s="106"/>
      <c r="W52" s="14" t="str">
        <f t="shared" si="18"/>
        <v>None</v>
      </c>
      <c r="X52" s="359">
        <v>0</v>
      </c>
      <c r="Y52" s="548">
        <f t="shared" si="19"/>
        <v>1</v>
      </c>
      <c r="Z52" s="360">
        <v>0</v>
      </c>
      <c r="AA52" s="35">
        <f t="shared" si="20"/>
        <v>0</v>
      </c>
      <c r="AB52" s="37">
        <f t="shared" si="26"/>
        <v>0</v>
      </c>
    </row>
    <row r="53" spans="1:28" ht="15.75">
      <c r="A53" s="358" t="s">
        <v>13</v>
      </c>
      <c r="B53" s="106"/>
      <c r="C53" s="14" t="str">
        <f t="shared" si="12"/>
        <v>None</v>
      </c>
      <c r="D53" s="359">
        <v>0</v>
      </c>
      <c r="E53" s="548">
        <f t="shared" si="13"/>
        <v>1</v>
      </c>
      <c r="F53" s="360">
        <v>0</v>
      </c>
      <c r="G53" s="35">
        <f t="shared" si="14"/>
        <v>0</v>
      </c>
      <c r="H53" s="37">
        <f t="shared" si="24"/>
        <v>0</v>
      </c>
      <c r="I53" s="15"/>
      <c r="J53" s="51"/>
      <c r="K53" s="358" t="s">
        <v>13</v>
      </c>
      <c r="L53" s="106"/>
      <c r="M53" s="14" t="str">
        <f t="shared" si="15"/>
        <v>None</v>
      </c>
      <c r="N53" s="359">
        <v>0</v>
      </c>
      <c r="O53" s="548">
        <f t="shared" si="16"/>
        <v>1</v>
      </c>
      <c r="P53" s="360">
        <v>0</v>
      </c>
      <c r="Q53" s="35">
        <f t="shared" si="17"/>
        <v>0</v>
      </c>
      <c r="R53" s="37">
        <f t="shared" si="25"/>
        <v>0</v>
      </c>
      <c r="S53" s="51"/>
      <c r="T53" s="51"/>
      <c r="U53" s="358" t="s">
        <v>13</v>
      </c>
      <c r="V53" s="106"/>
      <c r="W53" s="14" t="str">
        <f t="shared" si="18"/>
        <v>None</v>
      </c>
      <c r="X53" s="359">
        <v>0</v>
      </c>
      <c r="Y53" s="548">
        <f t="shared" si="19"/>
        <v>1</v>
      </c>
      <c r="Z53" s="360">
        <v>0</v>
      </c>
      <c r="AA53" s="35">
        <f t="shared" si="20"/>
        <v>0</v>
      </c>
      <c r="AB53" s="37">
        <f t="shared" si="26"/>
        <v>0</v>
      </c>
    </row>
    <row r="54" spans="1:28" ht="15.75">
      <c r="A54" s="358" t="s">
        <v>13</v>
      </c>
      <c r="B54" s="106"/>
      <c r="C54" s="14" t="str">
        <f t="shared" si="12"/>
        <v>None</v>
      </c>
      <c r="D54" s="359">
        <v>0</v>
      </c>
      <c r="E54" s="548">
        <f t="shared" si="13"/>
        <v>1</v>
      </c>
      <c r="F54" s="360">
        <v>0</v>
      </c>
      <c r="G54" s="35">
        <f t="shared" si="14"/>
        <v>0</v>
      </c>
      <c r="H54" s="37">
        <f t="shared" si="24"/>
        <v>0</v>
      </c>
      <c r="I54" s="15"/>
      <c r="J54" s="51"/>
      <c r="K54" s="358" t="s">
        <v>13</v>
      </c>
      <c r="L54" s="106"/>
      <c r="M54" s="14" t="str">
        <f t="shared" si="15"/>
        <v>None</v>
      </c>
      <c r="N54" s="359">
        <v>0</v>
      </c>
      <c r="O54" s="548">
        <f t="shared" si="16"/>
        <v>1</v>
      </c>
      <c r="P54" s="360">
        <v>0</v>
      </c>
      <c r="Q54" s="35">
        <f t="shared" si="17"/>
        <v>0</v>
      </c>
      <c r="R54" s="37">
        <f t="shared" si="25"/>
        <v>0</v>
      </c>
      <c r="S54" s="51"/>
      <c r="T54" s="51"/>
      <c r="U54" s="358" t="s">
        <v>13</v>
      </c>
      <c r="V54" s="106"/>
      <c r="W54" s="14" t="str">
        <f t="shared" si="18"/>
        <v>None</v>
      </c>
      <c r="X54" s="359">
        <v>0</v>
      </c>
      <c r="Y54" s="548">
        <f t="shared" si="19"/>
        <v>1</v>
      </c>
      <c r="Z54" s="360">
        <v>0</v>
      </c>
      <c r="AA54" s="35">
        <f t="shared" si="20"/>
        <v>0</v>
      </c>
      <c r="AB54" s="37">
        <f t="shared" si="26"/>
        <v>0</v>
      </c>
    </row>
    <row r="55" spans="1:28" ht="15.75">
      <c r="A55" s="358" t="s">
        <v>13</v>
      </c>
      <c r="B55" s="106"/>
      <c r="C55" s="14" t="str">
        <f t="shared" si="12"/>
        <v>None</v>
      </c>
      <c r="D55" s="359">
        <v>0</v>
      </c>
      <c r="E55" s="548">
        <f t="shared" si="13"/>
        <v>1</v>
      </c>
      <c r="F55" s="360">
        <v>0</v>
      </c>
      <c r="G55" s="35">
        <f t="shared" si="14"/>
        <v>0</v>
      </c>
      <c r="H55" s="37">
        <f t="shared" si="24"/>
        <v>0</v>
      </c>
      <c r="I55" s="15"/>
      <c r="J55" s="51"/>
      <c r="K55" s="358" t="s">
        <v>13</v>
      </c>
      <c r="L55" s="106"/>
      <c r="M55" s="14" t="str">
        <f t="shared" si="15"/>
        <v>None</v>
      </c>
      <c r="N55" s="359">
        <v>0</v>
      </c>
      <c r="O55" s="548">
        <f t="shared" si="16"/>
        <v>1</v>
      </c>
      <c r="P55" s="360">
        <v>0</v>
      </c>
      <c r="Q55" s="35">
        <f t="shared" si="17"/>
        <v>0</v>
      </c>
      <c r="R55" s="37">
        <f t="shared" si="25"/>
        <v>0</v>
      </c>
      <c r="S55" s="51"/>
      <c r="T55" s="51"/>
      <c r="U55" s="358" t="s">
        <v>13</v>
      </c>
      <c r="V55" s="106"/>
      <c r="W55" s="14" t="str">
        <f t="shared" si="18"/>
        <v>None</v>
      </c>
      <c r="X55" s="359">
        <v>0</v>
      </c>
      <c r="Y55" s="548">
        <f t="shared" si="19"/>
        <v>1</v>
      </c>
      <c r="Z55" s="360">
        <v>0</v>
      </c>
      <c r="AA55" s="35">
        <f t="shared" si="20"/>
        <v>0</v>
      </c>
      <c r="AB55" s="37">
        <f t="shared" si="26"/>
        <v>0</v>
      </c>
    </row>
    <row r="56" spans="1:28" ht="15.75">
      <c r="A56" s="39"/>
      <c r="B56" s="106"/>
      <c r="C56" s="33"/>
      <c r="D56" s="44"/>
      <c r="E56" s="35"/>
      <c r="F56" s="45"/>
      <c r="G56" s="35"/>
      <c r="H56" s="37"/>
      <c r="I56" s="38"/>
      <c r="J56" s="2"/>
      <c r="K56" s="39"/>
      <c r="L56" s="106"/>
      <c r="M56" s="33"/>
      <c r="N56" s="44"/>
      <c r="O56" s="35"/>
      <c r="P56" s="45"/>
      <c r="Q56" s="35"/>
      <c r="R56" s="37"/>
      <c r="S56" s="2"/>
      <c r="T56" s="2"/>
      <c r="U56" s="39"/>
      <c r="V56" s="106"/>
      <c r="W56" s="33"/>
      <c r="X56" s="44"/>
      <c r="Y56" s="35"/>
      <c r="Z56" s="45"/>
      <c r="AA56" s="35"/>
      <c r="AB56" s="37"/>
    </row>
    <row r="57" spans="1:28" ht="15.75">
      <c r="A57" s="39"/>
      <c r="B57" s="32"/>
      <c r="C57" s="33"/>
      <c r="D57" s="44"/>
      <c r="E57" s="35"/>
      <c r="F57" s="45"/>
      <c r="G57" s="35"/>
      <c r="H57" s="37"/>
      <c r="I57" s="38"/>
      <c r="J57" s="2"/>
      <c r="K57" s="39"/>
      <c r="L57" s="32"/>
      <c r="M57" s="33"/>
      <c r="N57" s="44"/>
      <c r="O57" s="35"/>
      <c r="P57" s="45"/>
      <c r="Q57" s="35"/>
      <c r="R57" s="37"/>
      <c r="S57" s="2"/>
      <c r="T57" s="2"/>
      <c r="U57" s="39"/>
      <c r="V57" s="32"/>
      <c r="W57" s="33"/>
      <c r="X57" s="44"/>
      <c r="Y57" s="35"/>
      <c r="Z57" s="45"/>
      <c r="AA57" s="35"/>
      <c r="AB57" s="37"/>
    </row>
    <row r="58" spans="1:28" ht="16.5" thickBot="1">
      <c r="A58" s="266" t="s">
        <v>197</v>
      </c>
      <c r="B58" s="267"/>
      <c r="C58" s="263"/>
      <c r="D58" s="268"/>
      <c r="E58" s="263"/>
      <c r="F58" s="268"/>
      <c r="G58" s="264"/>
      <c r="H58" s="265">
        <f>SUM(H46:H55)</f>
        <v>0</v>
      </c>
      <c r="I58" s="116"/>
      <c r="J58" s="2"/>
      <c r="K58" s="266" t="s">
        <v>197</v>
      </c>
      <c r="L58" s="267"/>
      <c r="M58" s="263"/>
      <c r="N58" s="268"/>
      <c r="O58" s="263"/>
      <c r="P58" s="268"/>
      <c r="Q58" s="264"/>
      <c r="R58" s="265">
        <f>SUM(R46:R55)</f>
        <v>0</v>
      </c>
      <c r="S58" s="2"/>
      <c r="T58" s="2"/>
      <c r="U58" s="266" t="s">
        <v>197</v>
      </c>
      <c r="V58" s="267"/>
      <c r="W58" s="263"/>
      <c r="X58" s="268"/>
      <c r="Y58" s="263"/>
      <c r="Z58" s="268"/>
      <c r="AA58" s="264"/>
      <c r="AB58" s="265">
        <f>SUM(AB46:AB55)</f>
        <v>0</v>
      </c>
    </row>
    <row r="59" spans="1:28" ht="16.5" thickTop="1">
      <c r="A59" s="39"/>
      <c r="B59" s="106"/>
      <c r="C59" s="33"/>
      <c r="D59" s="44"/>
      <c r="E59" s="35"/>
      <c r="F59" s="45"/>
      <c r="G59" s="35"/>
      <c r="H59" s="37"/>
      <c r="I59" s="38"/>
      <c r="J59" s="2"/>
      <c r="K59" s="39"/>
      <c r="L59" s="106"/>
      <c r="M59" s="33"/>
      <c r="N59" s="44"/>
      <c r="O59" s="35"/>
      <c r="P59" s="45"/>
      <c r="Q59" s="35"/>
      <c r="R59" s="37"/>
      <c r="S59" s="2"/>
      <c r="T59" s="2"/>
      <c r="U59" s="39"/>
      <c r="V59" s="106"/>
      <c r="W59" s="33"/>
      <c r="X59" s="44"/>
      <c r="Y59" s="35"/>
      <c r="Z59" s="45"/>
      <c r="AA59" s="35"/>
      <c r="AB59" s="37"/>
    </row>
    <row r="60" spans="1:28" ht="15.75">
      <c r="A60" s="39"/>
      <c r="B60" s="106"/>
      <c r="D60" s="44"/>
      <c r="E60" s="35"/>
      <c r="F60" s="45"/>
      <c r="G60" s="35"/>
      <c r="H60" s="37"/>
      <c r="I60" s="38"/>
      <c r="J60" s="2"/>
      <c r="K60" s="39"/>
      <c r="L60" s="106"/>
      <c r="N60" s="44"/>
      <c r="O60" s="35"/>
      <c r="P60" s="45"/>
      <c r="Q60" s="35"/>
      <c r="R60" s="37"/>
      <c r="S60" s="2"/>
      <c r="T60" s="2"/>
      <c r="U60" s="39"/>
      <c r="V60" s="106"/>
      <c r="X60" s="44"/>
      <c r="Y60" s="35"/>
      <c r="Z60" s="45"/>
      <c r="AA60" s="35"/>
      <c r="AB60" s="37"/>
    </row>
    <row r="61" spans="1:28" ht="15.75">
      <c r="A61" s="105" t="s">
        <v>245</v>
      </c>
      <c r="B61" s="106"/>
      <c r="D61" s="68" t="s">
        <v>128</v>
      </c>
      <c r="E61" s="125"/>
      <c r="F61" s="68" t="s">
        <v>128</v>
      </c>
      <c r="G61" s="30"/>
      <c r="H61" s="108"/>
      <c r="I61" s="104"/>
      <c r="J61" s="2"/>
      <c r="K61" s="105" t="s">
        <v>245</v>
      </c>
      <c r="L61" s="106"/>
      <c r="N61" s="68" t="s">
        <v>128</v>
      </c>
      <c r="O61" s="125"/>
      <c r="P61" s="68" t="s">
        <v>128</v>
      </c>
      <c r="Q61" s="30"/>
      <c r="R61" s="108"/>
      <c r="S61" s="2"/>
      <c r="T61" s="2"/>
      <c r="U61" s="105" t="s">
        <v>245</v>
      </c>
      <c r="V61" s="106"/>
      <c r="X61" s="68" t="s">
        <v>128</v>
      </c>
      <c r="Y61" s="125"/>
      <c r="Z61" s="68" t="s">
        <v>128</v>
      </c>
      <c r="AA61" s="30"/>
      <c r="AB61" s="108"/>
    </row>
    <row r="62" spans="1:28" ht="15.75">
      <c r="A62" s="358" t="s">
        <v>13</v>
      </c>
      <c r="B62" s="106"/>
      <c r="C62" s="14" t="str">
        <f t="shared" ref="C62:C71" si="27">VLOOKUP(A62,Insecticides,4,FALSE)</f>
        <v>None</v>
      </c>
      <c r="D62" s="359">
        <v>0</v>
      </c>
      <c r="E62" s="548">
        <f t="shared" ref="E62:E71" si="28">VLOOKUP(A62,Insecticides,3,FALSE)</f>
        <v>1</v>
      </c>
      <c r="F62" s="360">
        <v>0</v>
      </c>
      <c r="G62" s="35">
        <f t="shared" ref="G62:G71" si="29">VLOOKUP(A62,Insecticides,2,FALSE)</f>
        <v>0</v>
      </c>
      <c r="H62" s="37">
        <f>F62/E62*D62</f>
        <v>0</v>
      </c>
      <c r="I62" s="15"/>
      <c r="J62" s="51"/>
      <c r="K62" s="358" t="s">
        <v>13</v>
      </c>
      <c r="L62" s="106"/>
      <c r="M62" s="14" t="str">
        <f t="shared" ref="M62:M71" si="30">VLOOKUP(K62,Insecticides,4,FALSE)</f>
        <v>None</v>
      </c>
      <c r="N62" s="359">
        <v>0</v>
      </c>
      <c r="O62" s="548">
        <f t="shared" ref="O62:O71" si="31">VLOOKUP(K62,Insecticides,3,FALSE)</f>
        <v>1</v>
      </c>
      <c r="P62" s="360">
        <v>0</v>
      </c>
      <c r="Q62" s="35">
        <f t="shared" ref="Q62:Q71" si="32">VLOOKUP(K62,Insecticides,2,FALSE)</f>
        <v>0</v>
      </c>
      <c r="R62" s="37">
        <f t="shared" ref="R62:R67" si="33">P62/O62*N62</f>
        <v>0</v>
      </c>
      <c r="S62" s="51"/>
      <c r="T62" s="51"/>
      <c r="U62" s="358" t="s">
        <v>13</v>
      </c>
      <c r="V62" s="106"/>
      <c r="W62" s="14" t="str">
        <f t="shared" ref="W62:W71" si="34">VLOOKUP(U62,Insecticides,4,FALSE)</f>
        <v>None</v>
      </c>
      <c r="X62" s="359">
        <v>0</v>
      </c>
      <c r="Y62" s="548">
        <f t="shared" ref="Y62:Y71" si="35">VLOOKUP(U62,Insecticides,3,FALSE)</f>
        <v>1</v>
      </c>
      <c r="Z62" s="360">
        <v>0</v>
      </c>
      <c r="AA62" s="35">
        <f t="shared" ref="AA62:AA71" si="36">VLOOKUP(U62,Insecticides,2,FALSE)</f>
        <v>0</v>
      </c>
      <c r="AB62" s="37">
        <f>Z62/Y62*X62</f>
        <v>0</v>
      </c>
    </row>
    <row r="63" spans="1:28" ht="15.75">
      <c r="A63" s="358" t="s">
        <v>13</v>
      </c>
      <c r="B63" s="106"/>
      <c r="C63" s="14" t="str">
        <f t="shared" si="27"/>
        <v>None</v>
      </c>
      <c r="D63" s="359">
        <v>0</v>
      </c>
      <c r="E63" s="548">
        <f t="shared" si="28"/>
        <v>1</v>
      </c>
      <c r="F63" s="360">
        <v>0</v>
      </c>
      <c r="G63" s="35">
        <f t="shared" si="29"/>
        <v>0</v>
      </c>
      <c r="H63" s="37">
        <f t="shared" ref="H63:H67" si="37">F63/E63*D63</f>
        <v>0</v>
      </c>
      <c r="I63" s="15"/>
      <c r="J63" s="51"/>
      <c r="K63" s="358" t="s">
        <v>13</v>
      </c>
      <c r="L63" s="106"/>
      <c r="M63" s="14" t="str">
        <f t="shared" si="30"/>
        <v>None</v>
      </c>
      <c r="N63" s="359">
        <v>0</v>
      </c>
      <c r="O63" s="548">
        <f t="shared" si="31"/>
        <v>1</v>
      </c>
      <c r="P63" s="360">
        <v>0</v>
      </c>
      <c r="Q63" s="35">
        <f t="shared" si="32"/>
        <v>0</v>
      </c>
      <c r="R63" s="37">
        <f t="shared" si="33"/>
        <v>0</v>
      </c>
      <c r="S63" s="51"/>
      <c r="T63" s="51"/>
      <c r="U63" s="358" t="s">
        <v>13</v>
      </c>
      <c r="V63" s="106"/>
      <c r="W63" s="14" t="str">
        <f t="shared" si="34"/>
        <v>None</v>
      </c>
      <c r="X63" s="359">
        <v>0</v>
      </c>
      <c r="Y63" s="548">
        <f t="shared" si="35"/>
        <v>1</v>
      </c>
      <c r="Z63" s="360">
        <v>0</v>
      </c>
      <c r="AA63" s="35">
        <f t="shared" si="36"/>
        <v>0</v>
      </c>
      <c r="AB63" s="37">
        <f t="shared" ref="AB63:AB67" si="38">Z63/Y63*X63</f>
        <v>0</v>
      </c>
    </row>
    <row r="64" spans="1:28" ht="15.75">
      <c r="A64" s="358" t="s">
        <v>13</v>
      </c>
      <c r="B64" s="106"/>
      <c r="C64" s="14" t="str">
        <f t="shared" si="27"/>
        <v>None</v>
      </c>
      <c r="D64" s="359">
        <v>0</v>
      </c>
      <c r="E64" s="548">
        <f t="shared" si="28"/>
        <v>1</v>
      </c>
      <c r="F64" s="360">
        <v>0</v>
      </c>
      <c r="G64" s="35">
        <f t="shared" si="29"/>
        <v>0</v>
      </c>
      <c r="H64" s="37">
        <f t="shared" si="37"/>
        <v>0</v>
      </c>
      <c r="I64" s="15"/>
      <c r="J64" s="51"/>
      <c r="K64" s="358" t="s">
        <v>13</v>
      </c>
      <c r="L64" s="106"/>
      <c r="M64" s="14" t="str">
        <f t="shared" si="30"/>
        <v>None</v>
      </c>
      <c r="N64" s="359">
        <v>0</v>
      </c>
      <c r="O64" s="548">
        <f t="shared" si="31"/>
        <v>1</v>
      </c>
      <c r="P64" s="360">
        <v>0</v>
      </c>
      <c r="Q64" s="35">
        <f t="shared" si="32"/>
        <v>0</v>
      </c>
      <c r="R64" s="37">
        <f t="shared" si="33"/>
        <v>0</v>
      </c>
      <c r="S64" s="51"/>
      <c r="T64" s="51"/>
      <c r="U64" s="358" t="s">
        <v>13</v>
      </c>
      <c r="V64" s="106"/>
      <c r="W64" s="14" t="str">
        <f t="shared" si="34"/>
        <v>None</v>
      </c>
      <c r="X64" s="359">
        <v>0</v>
      </c>
      <c r="Y64" s="548">
        <f t="shared" si="35"/>
        <v>1</v>
      </c>
      <c r="Z64" s="360">
        <v>0</v>
      </c>
      <c r="AA64" s="35">
        <f t="shared" si="36"/>
        <v>0</v>
      </c>
      <c r="AB64" s="37">
        <f t="shared" si="38"/>
        <v>0</v>
      </c>
    </row>
    <row r="65" spans="1:28" ht="15.75">
      <c r="A65" s="358" t="s">
        <v>13</v>
      </c>
      <c r="B65" s="106"/>
      <c r="C65" s="14" t="str">
        <f t="shared" si="27"/>
        <v>None</v>
      </c>
      <c r="D65" s="359">
        <v>0</v>
      </c>
      <c r="E65" s="548">
        <f t="shared" si="28"/>
        <v>1</v>
      </c>
      <c r="F65" s="360">
        <v>0</v>
      </c>
      <c r="G65" s="35">
        <f t="shared" si="29"/>
        <v>0</v>
      </c>
      <c r="H65" s="37">
        <f t="shared" si="37"/>
        <v>0</v>
      </c>
      <c r="I65" s="15"/>
      <c r="J65" s="51"/>
      <c r="K65" s="358" t="s">
        <v>13</v>
      </c>
      <c r="L65" s="106"/>
      <c r="M65" s="14" t="str">
        <f t="shared" si="30"/>
        <v>None</v>
      </c>
      <c r="N65" s="359">
        <v>0</v>
      </c>
      <c r="O65" s="548">
        <f t="shared" si="31"/>
        <v>1</v>
      </c>
      <c r="P65" s="360">
        <v>0</v>
      </c>
      <c r="Q65" s="35">
        <f t="shared" si="32"/>
        <v>0</v>
      </c>
      <c r="R65" s="37">
        <f t="shared" si="33"/>
        <v>0</v>
      </c>
      <c r="S65" s="51"/>
      <c r="T65" s="51"/>
      <c r="U65" s="358" t="s">
        <v>13</v>
      </c>
      <c r="V65" s="106"/>
      <c r="W65" s="14" t="str">
        <f t="shared" si="34"/>
        <v>None</v>
      </c>
      <c r="X65" s="359">
        <v>0</v>
      </c>
      <c r="Y65" s="548">
        <f t="shared" si="35"/>
        <v>1</v>
      </c>
      <c r="Z65" s="360">
        <v>0</v>
      </c>
      <c r="AA65" s="35">
        <f t="shared" si="36"/>
        <v>0</v>
      </c>
      <c r="AB65" s="37">
        <f t="shared" si="38"/>
        <v>0</v>
      </c>
    </row>
    <row r="66" spans="1:28" ht="15.75">
      <c r="A66" s="358" t="s">
        <v>13</v>
      </c>
      <c r="B66" s="106"/>
      <c r="C66" s="14" t="str">
        <f t="shared" si="27"/>
        <v>None</v>
      </c>
      <c r="D66" s="359">
        <v>0</v>
      </c>
      <c r="E66" s="548">
        <f t="shared" si="28"/>
        <v>1</v>
      </c>
      <c r="F66" s="360">
        <v>0</v>
      </c>
      <c r="G66" s="35">
        <f t="shared" si="29"/>
        <v>0</v>
      </c>
      <c r="H66" s="37">
        <f t="shared" si="37"/>
        <v>0</v>
      </c>
      <c r="I66" s="15"/>
      <c r="J66" s="51"/>
      <c r="K66" s="358" t="s">
        <v>13</v>
      </c>
      <c r="L66" s="106"/>
      <c r="M66" s="14" t="str">
        <f t="shared" si="30"/>
        <v>None</v>
      </c>
      <c r="N66" s="359">
        <v>0</v>
      </c>
      <c r="O66" s="548">
        <f t="shared" si="31"/>
        <v>1</v>
      </c>
      <c r="P66" s="360">
        <v>0</v>
      </c>
      <c r="Q66" s="35">
        <f t="shared" si="32"/>
        <v>0</v>
      </c>
      <c r="R66" s="37">
        <f t="shared" si="33"/>
        <v>0</v>
      </c>
      <c r="S66" s="51"/>
      <c r="T66" s="51"/>
      <c r="U66" s="358" t="s">
        <v>13</v>
      </c>
      <c r="V66" s="106"/>
      <c r="W66" s="14" t="str">
        <f t="shared" si="34"/>
        <v>None</v>
      </c>
      <c r="X66" s="359">
        <v>0</v>
      </c>
      <c r="Y66" s="548">
        <f t="shared" si="35"/>
        <v>1</v>
      </c>
      <c r="Z66" s="360">
        <v>0</v>
      </c>
      <c r="AA66" s="35">
        <f t="shared" si="36"/>
        <v>0</v>
      </c>
      <c r="AB66" s="37">
        <f t="shared" si="38"/>
        <v>0</v>
      </c>
    </row>
    <row r="67" spans="1:28" ht="15.75">
      <c r="A67" s="358" t="s">
        <v>13</v>
      </c>
      <c r="B67" s="106"/>
      <c r="C67" s="14" t="str">
        <f t="shared" si="27"/>
        <v>None</v>
      </c>
      <c r="D67" s="359">
        <v>0</v>
      </c>
      <c r="E67" s="548">
        <f t="shared" si="28"/>
        <v>1</v>
      </c>
      <c r="F67" s="360">
        <v>0</v>
      </c>
      <c r="G67" s="35">
        <f t="shared" si="29"/>
        <v>0</v>
      </c>
      <c r="H67" s="37">
        <f t="shared" si="37"/>
        <v>0</v>
      </c>
      <c r="I67" s="15"/>
      <c r="J67" s="51"/>
      <c r="K67" s="358" t="s">
        <v>13</v>
      </c>
      <c r="L67" s="106"/>
      <c r="M67" s="14" t="str">
        <f t="shared" si="30"/>
        <v>None</v>
      </c>
      <c r="N67" s="359">
        <v>0</v>
      </c>
      <c r="O67" s="548">
        <f t="shared" si="31"/>
        <v>1</v>
      </c>
      <c r="P67" s="360">
        <v>0</v>
      </c>
      <c r="Q67" s="35">
        <f t="shared" si="32"/>
        <v>0</v>
      </c>
      <c r="R67" s="37">
        <f t="shared" si="33"/>
        <v>0</v>
      </c>
      <c r="S67" s="51"/>
      <c r="T67" s="51"/>
      <c r="U67" s="358" t="s">
        <v>13</v>
      </c>
      <c r="V67" s="106"/>
      <c r="W67" s="14" t="str">
        <f t="shared" si="34"/>
        <v>None</v>
      </c>
      <c r="X67" s="359">
        <v>0</v>
      </c>
      <c r="Y67" s="548">
        <f t="shared" si="35"/>
        <v>1</v>
      </c>
      <c r="Z67" s="360">
        <v>0</v>
      </c>
      <c r="AA67" s="35">
        <f t="shared" si="36"/>
        <v>0</v>
      </c>
      <c r="AB67" s="37">
        <f t="shared" si="38"/>
        <v>0</v>
      </c>
    </row>
    <row r="68" spans="1:28" ht="15.75">
      <c r="A68" s="358" t="s">
        <v>13</v>
      </c>
      <c r="B68" s="106"/>
      <c r="C68" s="14" t="str">
        <f t="shared" si="27"/>
        <v>None</v>
      </c>
      <c r="D68" s="359">
        <v>0</v>
      </c>
      <c r="E68" s="548">
        <f t="shared" si="28"/>
        <v>1</v>
      </c>
      <c r="F68" s="360">
        <v>0</v>
      </c>
      <c r="G68" s="35">
        <f t="shared" si="29"/>
        <v>0</v>
      </c>
      <c r="H68" s="37">
        <f t="shared" ref="H68:H71" si="39">F68/E68*D68</f>
        <v>0</v>
      </c>
      <c r="I68" s="15"/>
      <c r="J68" s="51"/>
      <c r="K68" s="358" t="s">
        <v>13</v>
      </c>
      <c r="L68" s="106"/>
      <c r="M68" s="14" t="str">
        <f t="shared" si="30"/>
        <v>None</v>
      </c>
      <c r="N68" s="359">
        <v>0</v>
      </c>
      <c r="O68" s="548">
        <f t="shared" si="31"/>
        <v>1</v>
      </c>
      <c r="P68" s="360">
        <v>0</v>
      </c>
      <c r="Q68" s="35">
        <f t="shared" si="32"/>
        <v>0</v>
      </c>
      <c r="R68" s="37">
        <f t="shared" ref="R68:R71" si="40">P68/O68*N68</f>
        <v>0</v>
      </c>
      <c r="S68" s="51"/>
      <c r="T68" s="51"/>
      <c r="U68" s="358" t="s">
        <v>13</v>
      </c>
      <c r="V68" s="106"/>
      <c r="W68" s="14" t="str">
        <f t="shared" si="34"/>
        <v>None</v>
      </c>
      <c r="X68" s="359">
        <v>0</v>
      </c>
      <c r="Y68" s="548">
        <f t="shared" si="35"/>
        <v>1</v>
      </c>
      <c r="Z68" s="360">
        <v>0</v>
      </c>
      <c r="AA68" s="35">
        <f t="shared" si="36"/>
        <v>0</v>
      </c>
      <c r="AB68" s="37">
        <f t="shared" ref="AB68:AB71" si="41">Z68/Y68*X68</f>
        <v>0</v>
      </c>
    </row>
    <row r="69" spans="1:28" ht="15.75">
      <c r="A69" s="358" t="s">
        <v>13</v>
      </c>
      <c r="B69" s="106"/>
      <c r="C69" s="14" t="str">
        <f t="shared" si="27"/>
        <v>None</v>
      </c>
      <c r="D69" s="359">
        <v>0</v>
      </c>
      <c r="E69" s="548">
        <f t="shared" si="28"/>
        <v>1</v>
      </c>
      <c r="F69" s="360">
        <v>0</v>
      </c>
      <c r="G69" s="35">
        <f t="shared" si="29"/>
        <v>0</v>
      </c>
      <c r="H69" s="37">
        <f t="shared" si="39"/>
        <v>0</v>
      </c>
      <c r="I69" s="15"/>
      <c r="J69" s="51"/>
      <c r="K69" s="358" t="s">
        <v>13</v>
      </c>
      <c r="L69" s="106"/>
      <c r="M69" s="14" t="str">
        <f t="shared" si="30"/>
        <v>None</v>
      </c>
      <c r="N69" s="359">
        <v>0</v>
      </c>
      <c r="O69" s="548">
        <f t="shared" si="31"/>
        <v>1</v>
      </c>
      <c r="P69" s="360">
        <v>0</v>
      </c>
      <c r="Q69" s="35">
        <f t="shared" si="32"/>
        <v>0</v>
      </c>
      <c r="R69" s="37">
        <f t="shared" si="40"/>
        <v>0</v>
      </c>
      <c r="S69" s="51"/>
      <c r="T69" s="51"/>
      <c r="U69" s="358" t="s">
        <v>13</v>
      </c>
      <c r="V69" s="106"/>
      <c r="W69" s="14" t="str">
        <f t="shared" si="34"/>
        <v>None</v>
      </c>
      <c r="X69" s="359">
        <v>0</v>
      </c>
      <c r="Y69" s="548">
        <f t="shared" si="35"/>
        <v>1</v>
      </c>
      <c r="Z69" s="360">
        <v>0</v>
      </c>
      <c r="AA69" s="35">
        <f t="shared" si="36"/>
        <v>0</v>
      </c>
      <c r="AB69" s="37">
        <f t="shared" si="41"/>
        <v>0</v>
      </c>
    </row>
    <row r="70" spans="1:28" ht="15.75">
      <c r="A70" s="358" t="s">
        <v>13</v>
      </c>
      <c r="B70" s="106"/>
      <c r="C70" s="14" t="str">
        <f t="shared" si="27"/>
        <v>None</v>
      </c>
      <c r="D70" s="359">
        <v>0</v>
      </c>
      <c r="E70" s="548">
        <f t="shared" si="28"/>
        <v>1</v>
      </c>
      <c r="F70" s="360">
        <v>0</v>
      </c>
      <c r="G70" s="35">
        <f t="shared" si="29"/>
        <v>0</v>
      </c>
      <c r="H70" s="37">
        <f t="shared" si="39"/>
        <v>0</v>
      </c>
      <c r="I70" s="15"/>
      <c r="J70" s="51"/>
      <c r="K70" s="358" t="s">
        <v>13</v>
      </c>
      <c r="L70" s="106"/>
      <c r="M70" s="14" t="str">
        <f t="shared" si="30"/>
        <v>None</v>
      </c>
      <c r="N70" s="359">
        <v>0</v>
      </c>
      <c r="O70" s="548">
        <f t="shared" si="31"/>
        <v>1</v>
      </c>
      <c r="P70" s="360">
        <v>0</v>
      </c>
      <c r="Q70" s="35">
        <f t="shared" si="32"/>
        <v>0</v>
      </c>
      <c r="R70" s="37">
        <f t="shared" si="40"/>
        <v>0</v>
      </c>
      <c r="S70" s="51"/>
      <c r="T70" s="51"/>
      <c r="U70" s="358" t="s">
        <v>13</v>
      </c>
      <c r="V70" s="106"/>
      <c r="W70" s="14" t="str">
        <f t="shared" si="34"/>
        <v>None</v>
      </c>
      <c r="X70" s="359">
        <v>0</v>
      </c>
      <c r="Y70" s="548">
        <f t="shared" si="35"/>
        <v>1</v>
      </c>
      <c r="Z70" s="360">
        <v>0</v>
      </c>
      <c r="AA70" s="35">
        <f t="shared" si="36"/>
        <v>0</v>
      </c>
      <c r="AB70" s="37">
        <f t="shared" si="41"/>
        <v>0</v>
      </c>
    </row>
    <row r="71" spans="1:28" ht="15.75">
      <c r="A71" s="358" t="s">
        <v>13</v>
      </c>
      <c r="B71" s="106"/>
      <c r="C71" s="14" t="str">
        <f t="shared" si="27"/>
        <v>None</v>
      </c>
      <c r="D71" s="359">
        <v>0</v>
      </c>
      <c r="E71" s="548">
        <f t="shared" si="28"/>
        <v>1</v>
      </c>
      <c r="F71" s="360">
        <v>0</v>
      </c>
      <c r="G71" s="35">
        <f t="shared" si="29"/>
        <v>0</v>
      </c>
      <c r="H71" s="37">
        <f t="shared" si="39"/>
        <v>0</v>
      </c>
      <c r="I71" s="15"/>
      <c r="J71" s="51"/>
      <c r="K71" s="358" t="s">
        <v>13</v>
      </c>
      <c r="L71" s="106"/>
      <c r="M71" s="14" t="str">
        <f t="shared" si="30"/>
        <v>None</v>
      </c>
      <c r="N71" s="359">
        <v>0</v>
      </c>
      <c r="O71" s="548">
        <f t="shared" si="31"/>
        <v>1</v>
      </c>
      <c r="P71" s="360">
        <v>0</v>
      </c>
      <c r="Q71" s="35">
        <f t="shared" si="32"/>
        <v>0</v>
      </c>
      <c r="R71" s="37">
        <f t="shared" si="40"/>
        <v>0</v>
      </c>
      <c r="S71" s="51"/>
      <c r="T71" s="51"/>
      <c r="U71" s="358" t="s">
        <v>13</v>
      </c>
      <c r="V71" s="106"/>
      <c r="W71" s="14" t="str">
        <f t="shared" si="34"/>
        <v>None</v>
      </c>
      <c r="X71" s="359">
        <v>0</v>
      </c>
      <c r="Y71" s="548">
        <f t="shared" si="35"/>
        <v>1</v>
      </c>
      <c r="Z71" s="360">
        <v>0</v>
      </c>
      <c r="AA71" s="35">
        <f t="shared" si="36"/>
        <v>0</v>
      </c>
      <c r="AB71" s="37">
        <f t="shared" si="41"/>
        <v>0</v>
      </c>
    </row>
    <row r="72" spans="1:28" ht="15.75">
      <c r="A72" s="39"/>
      <c r="B72" s="106"/>
      <c r="C72" s="33"/>
      <c r="D72" s="34"/>
      <c r="E72" s="35"/>
      <c r="F72" s="36"/>
      <c r="G72" s="35"/>
      <c r="H72" s="37"/>
      <c r="I72" s="38"/>
      <c r="J72" s="2"/>
      <c r="K72" s="39"/>
      <c r="L72" s="106"/>
      <c r="M72" s="33"/>
      <c r="N72" s="34"/>
      <c r="O72" s="35"/>
      <c r="P72" s="36"/>
      <c r="Q72" s="35"/>
      <c r="R72" s="37"/>
      <c r="S72" s="2"/>
      <c r="T72" s="2"/>
      <c r="U72" s="39"/>
      <c r="V72" s="106"/>
      <c r="W72" s="33"/>
      <c r="X72" s="34"/>
      <c r="Y72" s="35"/>
      <c r="Z72" s="36"/>
      <c r="AA72" s="35"/>
      <c r="AB72" s="37"/>
    </row>
    <row r="73" spans="1:28" ht="15.75">
      <c r="A73" s="39"/>
      <c r="B73" s="106"/>
      <c r="C73" s="33"/>
      <c r="D73" s="34"/>
      <c r="E73" s="35"/>
      <c r="F73" s="36"/>
      <c r="G73" s="35"/>
      <c r="H73" s="37"/>
      <c r="I73" s="38"/>
      <c r="J73" s="2"/>
      <c r="K73" s="39"/>
      <c r="L73" s="106"/>
      <c r="M73" s="33"/>
      <c r="N73" s="34"/>
      <c r="O73" s="35"/>
      <c r="P73" s="36"/>
      <c r="Q73" s="35"/>
      <c r="R73" s="37"/>
      <c r="S73" s="2"/>
      <c r="T73" s="2"/>
      <c r="U73" s="39"/>
      <c r="V73" s="106"/>
      <c r="W73" s="33"/>
      <c r="X73" s="34"/>
      <c r="Y73" s="35"/>
      <c r="Z73" s="36"/>
      <c r="AA73" s="35"/>
      <c r="AB73" s="37"/>
    </row>
    <row r="74" spans="1:28" ht="16.5" thickBot="1">
      <c r="A74" s="266" t="s">
        <v>198</v>
      </c>
      <c r="B74" s="267"/>
      <c r="C74" s="263"/>
      <c r="D74" s="263"/>
      <c r="E74" s="263"/>
      <c r="F74" s="263"/>
      <c r="G74" s="264"/>
      <c r="H74" s="265">
        <f>SUM(H62:H71)</f>
        <v>0</v>
      </c>
      <c r="I74" s="116"/>
      <c r="J74" s="2"/>
      <c r="K74" s="266" t="s">
        <v>198</v>
      </c>
      <c r="L74" s="267"/>
      <c r="M74" s="263"/>
      <c r="N74" s="263"/>
      <c r="O74" s="263"/>
      <c r="P74" s="263"/>
      <c r="Q74" s="264"/>
      <c r="R74" s="265">
        <f>SUM(R62:R71)</f>
        <v>0</v>
      </c>
      <c r="S74" s="2"/>
      <c r="T74" s="2"/>
      <c r="U74" s="266" t="s">
        <v>198</v>
      </c>
      <c r="V74" s="267"/>
      <c r="W74" s="263"/>
      <c r="X74" s="263"/>
      <c r="Y74" s="263"/>
      <c r="Z74" s="263"/>
      <c r="AA74" s="264"/>
      <c r="AB74" s="265">
        <f>SUM(AB62:AB71)</f>
        <v>0</v>
      </c>
    </row>
    <row r="75" spans="1:28" ht="16.5" thickTop="1">
      <c r="A75" s="46"/>
      <c r="B75" s="47"/>
      <c r="C75" s="47"/>
      <c r="D75" s="2"/>
      <c r="E75" s="2"/>
      <c r="F75" s="2"/>
      <c r="G75" s="48"/>
      <c r="H75" s="49"/>
      <c r="I75" s="2"/>
      <c r="J75" s="2"/>
      <c r="K75" s="46"/>
      <c r="L75" s="47"/>
      <c r="M75" s="47"/>
      <c r="N75" s="2"/>
      <c r="O75" s="2"/>
      <c r="P75" s="2"/>
      <c r="Q75" s="48"/>
      <c r="R75" s="49"/>
      <c r="S75" s="2"/>
      <c r="T75" s="2"/>
      <c r="U75" s="46"/>
      <c r="V75" s="47"/>
      <c r="W75" s="47"/>
      <c r="X75" s="2"/>
      <c r="Y75" s="2"/>
      <c r="Z75" s="2"/>
      <c r="AA75" s="48"/>
      <c r="AB75" s="49"/>
    </row>
    <row r="76" spans="1:28" ht="15.75">
      <c r="A76" s="46"/>
      <c r="B76" s="47"/>
      <c r="C76" s="47"/>
      <c r="D76" s="2"/>
      <c r="E76" s="2"/>
      <c r="F76" s="2"/>
      <c r="G76" s="48"/>
      <c r="H76" s="49"/>
      <c r="I76" s="2"/>
      <c r="J76" s="2"/>
      <c r="K76" s="46"/>
      <c r="L76" s="47"/>
      <c r="M76" s="47"/>
      <c r="N76" s="2"/>
      <c r="O76" s="2"/>
      <c r="P76" s="2"/>
      <c r="Q76" s="48"/>
      <c r="R76" s="49"/>
      <c r="S76" s="2"/>
      <c r="T76" s="2"/>
      <c r="U76" s="46"/>
      <c r="V76" s="47"/>
      <c r="W76" s="47"/>
      <c r="X76" s="2"/>
      <c r="Y76" s="2"/>
      <c r="Z76" s="2"/>
      <c r="AA76" s="48"/>
      <c r="AB76" s="49"/>
    </row>
    <row r="77" spans="1:28" ht="16.5" thickBot="1">
      <c r="A77" s="258" t="s">
        <v>137</v>
      </c>
      <c r="B77" s="259"/>
      <c r="C77" s="260"/>
      <c r="D77" s="260"/>
      <c r="E77" s="260"/>
      <c r="F77" s="260"/>
      <c r="G77" s="261"/>
      <c r="H77" s="262">
        <f>H74+H58+H40+H19</f>
        <v>0</v>
      </c>
      <c r="I77" s="116"/>
      <c r="J77" s="2"/>
      <c r="K77" s="258" t="s">
        <v>137</v>
      </c>
      <c r="L77" s="259"/>
      <c r="M77" s="260"/>
      <c r="N77" s="260"/>
      <c r="O77" s="260"/>
      <c r="P77" s="260"/>
      <c r="Q77" s="261"/>
      <c r="R77" s="262">
        <f>R74+R58+R40+R19</f>
        <v>0</v>
      </c>
      <c r="S77" s="2"/>
      <c r="T77" s="2"/>
      <c r="U77" s="258" t="s">
        <v>137</v>
      </c>
      <c r="V77" s="259"/>
      <c r="W77" s="260"/>
      <c r="X77" s="260"/>
      <c r="Y77" s="260"/>
      <c r="Z77" s="260"/>
      <c r="AA77" s="261"/>
      <c r="AB77" s="262">
        <f>AB74+AB58+AB40+AB19</f>
        <v>0</v>
      </c>
    </row>
    <row r="78" spans="1:28" ht="16.5" thickTop="1">
      <c r="A78" s="46"/>
      <c r="B78" s="47"/>
      <c r="C78" s="47"/>
      <c r="D78" s="2"/>
      <c r="E78" s="2"/>
      <c r="F78" s="2"/>
      <c r="G78" s="48"/>
      <c r="H78" s="49"/>
      <c r="I78" s="2"/>
      <c r="J78" s="2"/>
      <c r="K78" s="46"/>
      <c r="L78" s="47"/>
      <c r="M78" s="47"/>
      <c r="N78" s="2"/>
      <c r="O78" s="2"/>
      <c r="P78" s="2"/>
      <c r="Q78" s="48"/>
      <c r="R78" s="49"/>
      <c r="S78" s="2"/>
      <c r="T78" s="2"/>
      <c r="U78" s="46"/>
      <c r="V78" s="47"/>
      <c r="W78" s="47"/>
      <c r="X78" s="2"/>
      <c r="Y78" s="2"/>
      <c r="Z78" s="2"/>
      <c r="AA78" s="48"/>
      <c r="AB78" s="49"/>
    </row>
    <row r="79" spans="1:28" ht="16.5" thickBot="1">
      <c r="A79" s="24"/>
      <c r="B79" s="97"/>
      <c r="C79" s="97"/>
      <c r="D79" s="97"/>
      <c r="E79" s="97"/>
      <c r="F79" s="97"/>
      <c r="G79" s="121"/>
      <c r="H79" s="98"/>
      <c r="I79" s="2"/>
      <c r="J79" s="2"/>
      <c r="K79" s="24"/>
      <c r="L79" s="97"/>
      <c r="M79" s="97"/>
      <c r="N79" s="97"/>
      <c r="O79" s="97"/>
      <c r="P79" s="97"/>
      <c r="Q79" s="121"/>
      <c r="R79" s="98"/>
      <c r="S79" s="2"/>
      <c r="T79" s="2"/>
      <c r="U79" s="24"/>
      <c r="V79" s="97"/>
      <c r="W79" s="97"/>
      <c r="X79" s="97"/>
      <c r="Y79" s="97"/>
      <c r="Z79" s="97"/>
      <c r="AA79" s="121"/>
      <c r="AB79" s="98"/>
    </row>
  </sheetData>
  <sheetProtection algorithmName="SHA-512" hashValue="KavH3rOACPGgSC/CqT7hsgS5vH2HpD7B7IPwXUVLPXlOVpK0QAjOLq6Pg5Ym1jSGjPnSvOdzo/zQRwRuhbSKOg==" saltValue="WlZKMC01H0aPU1r3XsH6cA==" spinCount="100000" sheet="1" objects="1" scenarios="1"/>
  <dataConsolidate/>
  <mergeCells count="16">
    <mergeCell ref="T38:T39"/>
    <mergeCell ref="U1:AB1"/>
    <mergeCell ref="U3:AB3"/>
    <mergeCell ref="U22:AB22"/>
    <mergeCell ref="U43:AB43"/>
    <mergeCell ref="T17:T18"/>
    <mergeCell ref="A3:H3"/>
    <mergeCell ref="A22:H22"/>
    <mergeCell ref="A1:H1"/>
    <mergeCell ref="A43:H43"/>
    <mergeCell ref="K1:R1"/>
    <mergeCell ref="K3:R3"/>
    <mergeCell ref="K22:R22"/>
    <mergeCell ref="K43:R43"/>
    <mergeCell ref="J17:J18"/>
    <mergeCell ref="J38:J39"/>
  </mergeCells>
  <conditionalFormatting sqref="H13:H17">
    <cfRule type="dataBar" priority="38">
      <dataBar>
        <cfvo type="min"/>
        <cfvo type="max"/>
        <color rgb="FF63C384"/>
      </dataBar>
    </cfRule>
  </conditionalFormatting>
  <conditionalFormatting sqref="H25:H29">
    <cfRule type="dataBar" priority="37">
      <dataBar>
        <cfvo type="min"/>
        <cfvo type="max"/>
        <color rgb="FF63C384"/>
      </dataBar>
    </cfRule>
  </conditionalFormatting>
  <conditionalFormatting sqref="H33:H37">
    <cfRule type="dataBar" priority="36">
      <dataBar>
        <cfvo type="min"/>
        <cfvo type="max"/>
        <color rgb="FF63C384"/>
      </dataBar>
    </cfRule>
  </conditionalFormatting>
  <conditionalFormatting sqref="H68:H71">
    <cfRule type="dataBar" priority="35">
      <dataBar>
        <cfvo type="min"/>
        <cfvo type="max"/>
        <color rgb="FF63C384"/>
      </dataBar>
    </cfRule>
  </conditionalFormatting>
  <conditionalFormatting sqref="H6:I10">
    <cfRule type="dataBar" priority="118">
      <dataBar>
        <cfvo type="min"/>
        <cfvo type="max"/>
        <color rgb="FF63C384"/>
      </dataBar>
    </cfRule>
  </conditionalFormatting>
  <conditionalFormatting sqref="H20:I20 H18:I18 I13:I17">
    <cfRule type="dataBar" priority="114">
      <dataBar>
        <cfvo type="min"/>
        <cfvo type="max"/>
        <color rgb="FF63C384"/>
      </dataBar>
    </cfRule>
  </conditionalFormatting>
  <conditionalFormatting sqref="H21:I21 H11:I11">
    <cfRule type="dataBar" priority="119">
      <dataBar>
        <cfvo type="min"/>
        <cfvo type="max"/>
        <color rgb="FF63C384"/>
      </dataBar>
    </cfRule>
  </conditionalFormatting>
  <conditionalFormatting sqref="H30:I31">
    <cfRule type="dataBar" priority="113">
      <dataBar>
        <cfvo type="min"/>
        <cfvo type="max"/>
        <color rgb="FF63C384"/>
      </dataBar>
    </cfRule>
  </conditionalFormatting>
  <conditionalFormatting sqref="H38:I38">
    <cfRule type="dataBar" priority="106">
      <dataBar>
        <cfvo type="min"/>
        <cfvo type="max"/>
        <color rgb="FF63C384"/>
      </dataBar>
    </cfRule>
  </conditionalFormatting>
  <conditionalFormatting sqref="H39:I39">
    <cfRule type="dataBar" priority="107">
      <dataBar>
        <cfvo type="min"/>
        <cfvo type="max"/>
        <color rgb="FF63C384"/>
      </dataBar>
    </cfRule>
  </conditionalFormatting>
  <conditionalFormatting sqref="H42:I42 I33:I37">
    <cfRule type="dataBar" priority="263">
      <dataBar>
        <cfvo type="min"/>
        <cfvo type="max"/>
        <color rgb="FF63C384"/>
      </dataBar>
    </cfRule>
  </conditionalFormatting>
  <conditionalFormatting sqref="H57:I57">
    <cfRule type="dataBar" priority="105">
      <dataBar>
        <cfvo type="min"/>
        <cfvo type="max"/>
        <color rgb="FF63C384"/>
      </dataBar>
    </cfRule>
  </conditionalFormatting>
  <conditionalFormatting sqref="H59:I59 H46:I56">
    <cfRule type="dataBar" priority="247">
      <dataBar>
        <cfvo type="min"/>
        <cfvo type="max"/>
        <color rgb="FF63C384"/>
      </dataBar>
    </cfRule>
  </conditionalFormatting>
  <conditionalFormatting sqref="H60:I60">
    <cfRule type="dataBar" priority="109">
      <dataBar>
        <cfvo type="min"/>
        <cfvo type="max"/>
        <color rgb="FF63C384"/>
      </dataBar>
    </cfRule>
  </conditionalFormatting>
  <conditionalFormatting sqref="H62:I62 I63:I71 H63:H67">
    <cfRule type="dataBar" priority="108">
      <dataBar>
        <cfvo type="min"/>
        <cfvo type="max"/>
        <color rgb="FF63C384"/>
      </dataBar>
    </cfRule>
  </conditionalFormatting>
  <conditionalFormatting sqref="H72:I72">
    <cfRule type="dataBar" priority="104">
      <dataBar>
        <cfvo type="min"/>
        <cfvo type="max"/>
        <color rgb="FF63C384"/>
      </dataBar>
    </cfRule>
  </conditionalFormatting>
  <conditionalFormatting sqref="H73:I73">
    <cfRule type="dataBar" priority="103">
      <dataBar>
        <cfvo type="min"/>
        <cfvo type="max"/>
        <color rgb="FF63C384"/>
      </dataBar>
    </cfRule>
  </conditionalFormatting>
  <conditionalFormatting sqref="I25:I29">
    <cfRule type="dataBar" priority="112">
      <dataBar>
        <cfvo type="min"/>
        <cfvo type="max"/>
        <color rgb="FF63C384"/>
      </dataBar>
    </cfRule>
  </conditionalFormatting>
  <conditionalFormatting sqref="R6:R10">
    <cfRule type="dataBar" priority="31">
      <dataBar>
        <cfvo type="min"/>
        <cfvo type="max"/>
        <color rgb="FF63C384"/>
      </dataBar>
    </cfRule>
  </conditionalFormatting>
  <conditionalFormatting sqref="R11 R21">
    <cfRule type="dataBar" priority="32">
      <dataBar>
        <cfvo type="min"/>
        <cfvo type="max"/>
        <color rgb="FF63C384"/>
      </dataBar>
    </cfRule>
  </conditionalFormatting>
  <conditionalFormatting sqref="R13:R17">
    <cfRule type="dataBar" priority="21">
      <dataBar>
        <cfvo type="min"/>
        <cfvo type="max"/>
        <color rgb="FF63C384"/>
      </dataBar>
    </cfRule>
  </conditionalFormatting>
  <conditionalFormatting sqref="R18 R20">
    <cfRule type="dataBar" priority="30">
      <dataBar>
        <cfvo type="min"/>
        <cfvo type="max"/>
        <color rgb="FF63C384"/>
      </dataBar>
    </cfRule>
  </conditionalFormatting>
  <conditionalFormatting sqref="R25:R29">
    <cfRule type="dataBar" priority="20">
      <dataBar>
        <cfvo type="min"/>
        <cfvo type="max"/>
        <color rgb="FF63C384"/>
      </dataBar>
    </cfRule>
  </conditionalFormatting>
  <conditionalFormatting sqref="R30:R31">
    <cfRule type="dataBar" priority="29">
      <dataBar>
        <cfvo type="min"/>
        <cfvo type="max"/>
        <color rgb="FF63C384"/>
      </dataBar>
    </cfRule>
  </conditionalFormatting>
  <conditionalFormatting sqref="R33:R37">
    <cfRule type="dataBar" priority="19">
      <dataBar>
        <cfvo type="min"/>
        <cfvo type="max"/>
        <color rgb="FF63C384"/>
      </dataBar>
    </cfRule>
  </conditionalFormatting>
  <conditionalFormatting sqref="R38">
    <cfRule type="dataBar" priority="25">
      <dataBar>
        <cfvo type="min"/>
        <cfvo type="max"/>
        <color rgb="FF63C384"/>
      </dataBar>
    </cfRule>
  </conditionalFormatting>
  <conditionalFormatting sqref="R39">
    <cfRule type="dataBar" priority="26">
      <dataBar>
        <cfvo type="min"/>
        <cfvo type="max"/>
        <color rgb="FF63C384"/>
      </dataBar>
    </cfRule>
  </conditionalFormatting>
  <conditionalFormatting sqref="R42">
    <cfRule type="dataBar" priority="34">
      <dataBar>
        <cfvo type="min"/>
        <cfvo type="max"/>
        <color rgb="FF63C384"/>
      </dataBar>
    </cfRule>
  </conditionalFormatting>
  <conditionalFormatting sqref="R46:R56 R59">
    <cfRule type="dataBar" priority="33">
      <dataBar>
        <cfvo type="min"/>
        <cfvo type="max"/>
        <color rgb="FF63C384"/>
      </dataBar>
    </cfRule>
  </conditionalFormatting>
  <conditionalFormatting sqref="R57">
    <cfRule type="dataBar" priority="24">
      <dataBar>
        <cfvo type="min"/>
        <cfvo type="max"/>
        <color rgb="FF63C384"/>
      </dataBar>
    </cfRule>
  </conditionalFormatting>
  <conditionalFormatting sqref="R60">
    <cfRule type="dataBar" priority="28">
      <dataBar>
        <cfvo type="min"/>
        <cfvo type="max"/>
        <color rgb="FF63C384"/>
      </dataBar>
    </cfRule>
  </conditionalFormatting>
  <conditionalFormatting sqref="R62:R67">
    <cfRule type="dataBar" priority="27">
      <dataBar>
        <cfvo type="min"/>
        <cfvo type="max"/>
        <color rgb="FF63C384"/>
      </dataBar>
    </cfRule>
  </conditionalFormatting>
  <conditionalFormatting sqref="R68:R71">
    <cfRule type="dataBar" priority="18">
      <dataBar>
        <cfvo type="min"/>
        <cfvo type="max"/>
        <color rgb="FF63C384"/>
      </dataBar>
    </cfRule>
  </conditionalFormatting>
  <conditionalFormatting sqref="R72">
    <cfRule type="dataBar" priority="23">
      <dataBar>
        <cfvo type="min"/>
        <cfvo type="max"/>
        <color rgb="FF63C384"/>
      </dataBar>
    </cfRule>
  </conditionalFormatting>
  <conditionalFormatting sqref="R73">
    <cfRule type="dataBar" priority="22">
      <dataBar>
        <cfvo type="min"/>
        <cfvo type="max"/>
        <color rgb="FF63C384"/>
      </dataBar>
    </cfRule>
  </conditionalFormatting>
  <conditionalFormatting sqref="AB6:AB10">
    <cfRule type="dataBar" priority="14">
      <dataBar>
        <cfvo type="min"/>
        <cfvo type="max"/>
        <color rgb="FF63C384"/>
      </dataBar>
    </cfRule>
  </conditionalFormatting>
  <conditionalFormatting sqref="AB11 AB21">
    <cfRule type="dataBar" priority="15">
      <dataBar>
        <cfvo type="min"/>
        <cfvo type="max"/>
        <color rgb="FF63C384"/>
      </dataBar>
    </cfRule>
  </conditionalFormatting>
  <conditionalFormatting sqref="AB13:AB17">
    <cfRule type="dataBar" priority="4">
      <dataBar>
        <cfvo type="min"/>
        <cfvo type="max"/>
        <color rgb="FF63C384"/>
      </dataBar>
    </cfRule>
  </conditionalFormatting>
  <conditionalFormatting sqref="AB20 AB18">
    <cfRule type="dataBar" priority="13">
      <dataBar>
        <cfvo type="min"/>
        <cfvo type="max"/>
        <color rgb="FF63C384"/>
      </dataBar>
    </cfRule>
  </conditionalFormatting>
  <conditionalFormatting sqref="AB25:AB29">
    <cfRule type="dataBar" priority="3">
      <dataBar>
        <cfvo type="min"/>
        <cfvo type="max"/>
        <color rgb="FF63C384"/>
      </dataBar>
    </cfRule>
  </conditionalFormatting>
  <conditionalFormatting sqref="AB30:AB31">
    <cfRule type="dataBar" priority="12">
      <dataBar>
        <cfvo type="min"/>
        <cfvo type="max"/>
        <color rgb="FF63C384"/>
      </dataBar>
    </cfRule>
  </conditionalFormatting>
  <conditionalFormatting sqref="AB33:AB37">
    <cfRule type="dataBar" priority="2">
      <dataBar>
        <cfvo type="min"/>
        <cfvo type="max"/>
        <color rgb="FF63C384"/>
      </dataBar>
    </cfRule>
  </conditionalFormatting>
  <conditionalFormatting sqref="AB38">
    <cfRule type="dataBar" priority="8">
      <dataBar>
        <cfvo type="min"/>
        <cfvo type="max"/>
        <color rgb="FF63C384"/>
      </dataBar>
    </cfRule>
  </conditionalFormatting>
  <conditionalFormatting sqref="AB39">
    <cfRule type="dataBar" priority="9">
      <dataBar>
        <cfvo type="min"/>
        <cfvo type="max"/>
        <color rgb="FF63C384"/>
      </dataBar>
    </cfRule>
  </conditionalFormatting>
  <conditionalFormatting sqref="AB42">
    <cfRule type="dataBar" priority="17">
      <dataBar>
        <cfvo type="min"/>
        <cfvo type="max"/>
        <color rgb="FF63C384"/>
      </dataBar>
    </cfRule>
  </conditionalFormatting>
  <conditionalFormatting sqref="AB46:AB56 AB59">
    <cfRule type="dataBar" priority="16">
      <dataBar>
        <cfvo type="min"/>
        <cfvo type="max"/>
        <color rgb="FF63C384"/>
      </dataBar>
    </cfRule>
  </conditionalFormatting>
  <conditionalFormatting sqref="AB57">
    <cfRule type="dataBar" priority="7">
      <dataBar>
        <cfvo type="min"/>
        <cfvo type="max"/>
        <color rgb="FF63C384"/>
      </dataBar>
    </cfRule>
  </conditionalFormatting>
  <conditionalFormatting sqref="AB60">
    <cfRule type="dataBar" priority="11">
      <dataBar>
        <cfvo type="min"/>
        <cfvo type="max"/>
        <color rgb="FF63C384"/>
      </dataBar>
    </cfRule>
  </conditionalFormatting>
  <conditionalFormatting sqref="AB62:AB67">
    <cfRule type="dataBar" priority="10">
      <dataBar>
        <cfvo type="min"/>
        <cfvo type="max"/>
        <color rgb="FF63C384"/>
      </dataBar>
    </cfRule>
  </conditionalFormatting>
  <conditionalFormatting sqref="AB68:AB71">
    <cfRule type="dataBar" priority="1">
      <dataBar>
        <cfvo type="min"/>
        <cfvo type="max"/>
        <color rgb="FF63C384"/>
      </dataBar>
    </cfRule>
  </conditionalFormatting>
  <conditionalFormatting sqref="AB72">
    <cfRule type="dataBar" priority="6">
      <dataBar>
        <cfvo type="min"/>
        <cfvo type="max"/>
        <color rgb="FF63C384"/>
      </dataBar>
    </cfRule>
  </conditionalFormatting>
  <conditionalFormatting sqref="AB73">
    <cfRule type="dataBar" priority="5">
      <dataBar>
        <cfvo type="min"/>
        <cfvo type="max"/>
        <color rgb="FF63C384"/>
      </dataBar>
    </cfRule>
  </conditionalFormatting>
  <dataValidations count="2">
    <dataValidation type="list" allowBlank="1" showInputMessage="1" showErrorMessage="1" sqref="A42:B42 B57 K20:L20 A20:B20 B39 L39 K42:L42 L57 U42:V42 V57 U20:V20 V39" xr:uid="{00000000-0002-0000-0300-000000000000}">
      <formula1>$A$32:$A$42</formula1>
    </dataValidation>
    <dataValidation type="list" allowBlank="1" showInputMessage="1" showErrorMessage="1" sqref="L38 V38 B38" xr:uid="{00000000-0002-0000-0300-000001000000}">
      <formula1>$A$47:$A$62</formula1>
    </dataValidation>
  </dataValidations>
  <printOptions horizontalCentered="1"/>
  <pageMargins left="0.7" right="0.7" top="0.75" bottom="0.75" header="0.3" footer="0.3"/>
  <pageSetup scale="53" orientation="portrait" r:id="rId1"/>
  <colBreaks count="1" manualBreakCount="1">
    <brk id="10"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5000000}">
          <x14:formula1>
            <xm:f>'Chemical List (Vegetables)'!$A$103:$A$113</xm:f>
          </x14:formula1>
          <xm:sqref>A13:B18 K13:L18 K33:L37 A33:B37 U13:V18 U33:V37</xm:sqref>
        </x14:dataValidation>
        <x14:dataValidation type="list" allowBlank="1" showInputMessage="1" showErrorMessage="1" xr:uid="{00000000-0002-0000-0300-00000E000000}">
          <x14:formula1>
            <xm:f>'Chemical List (Vegetables)'!$A$167:$A$213</xm:f>
          </x14:formula1>
          <xm:sqref>A62:A71 K62:K71 U62:U71</xm:sqref>
        </x14:dataValidation>
        <x14:dataValidation type="list" allowBlank="1" showInputMessage="1" showErrorMessage="1" xr:uid="{00000000-0002-0000-0300-000006000000}">
          <x14:formula1>
            <xm:f>'Chemical List (Vegetables)'!$A$4:$A$98</xm:f>
          </x14:formula1>
          <xm:sqref>A6:A10 A25:A29 K6:K10 K25:K29 U6:U10 U25:U29</xm:sqref>
        </x14:dataValidation>
        <x14:dataValidation type="list" allowBlank="1" showInputMessage="1" showErrorMessage="1" xr:uid="{00000000-0002-0000-0300-00000B000000}">
          <x14:formula1>
            <xm:f>'Chemical List (Vegetables)'!$A$118:$A$156</xm:f>
          </x14:formula1>
          <xm:sqref>A46:A55 K46:K55 U46:U55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dimension ref="A1:L32"/>
  <sheetViews>
    <sheetView zoomScale="80" zoomScaleNormal="80" workbookViewId="0">
      <selection activeCell="A27" sqref="A27"/>
    </sheetView>
  </sheetViews>
  <sheetFormatPr defaultColWidth="9.140625" defaultRowHeight="15"/>
  <cols>
    <col min="1" max="1" width="28.85546875" style="6" customWidth="1"/>
    <col min="2" max="2" width="18.85546875" style="6" bestFit="1" customWidth="1"/>
    <col min="3" max="3" width="16.7109375" style="6" bestFit="1" customWidth="1"/>
    <col min="4" max="4" width="11.140625" style="6" bestFit="1" customWidth="1"/>
    <col min="5" max="6" width="9.140625" style="6"/>
    <col min="7" max="7" width="10" style="6" bestFit="1" customWidth="1"/>
    <col min="8" max="8" width="21" style="6" bestFit="1" customWidth="1"/>
    <col min="9" max="9" width="22.140625" style="6" bestFit="1" customWidth="1"/>
    <col min="10" max="10" width="7.28515625" style="6" bestFit="1" customWidth="1"/>
    <col min="11" max="11" width="2" style="6" bestFit="1" customWidth="1"/>
    <col min="12" max="12" width="9.140625" style="6" bestFit="1" customWidth="1"/>
    <col min="13" max="16384" width="9.140625" style="6"/>
  </cols>
  <sheetData>
    <row r="1" spans="1:12" ht="26.25">
      <c r="A1" s="926" t="s">
        <v>172</v>
      </c>
      <c r="B1" s="926"/>
      <c r="C1" s="926"/>
      <c r="D1" s="926"/>
      <c r="E1" s="926"/>
      <c r="F1" s="926"/>
      <c r="G1" s="926"/>
      <c r="H1" s="926"/>
      <c r="I1" s="926"/>
      <c r="J1" s="926"/>
      <c r="K1" s="926"/>
      <c r="L1" s="926"/>
    </row>
    <row r="2" spans="1:12" ht="19.5" thickBot="1">
      <c r="A2" s="127"/>
      <c r="B2" s="127"/>
      <c r="C2" s="127"/>
      <c r="D2" s="127"/>
      <c r="E2" s="127"/>
      <c r="F2" s="127"/>
      <c r="G2" s="127"/>
      <c r="H2" s="127"/>
      <c r="I2" s="127"/>
      <c r="J2" s="127"/>
      <c r="K2" s="127"/>
      <c r="L2" s="127"/>
    </row>
    <row r="3" spans="1:12">
      <c r="A3" s="55" t="s">
        <v>194</v>
      </c>
      <c r="B3" s="68" t="s">
        <v>128</v>
      </c>
      <c r="C3" s="68" t="s">
        <v>128</v>
      </c>
      <c r="D3"/>
      <c r="E3"/>
      <c r="F3"/>
      <c r="G3" s="804" t="s">
        <v>24</v>
      </c>
      <c r="H3" s="805"/>
      <c r="I3" s="805"/>
      <c r="J3" s="805"/>
      <c r="K3" s="805"/>
      <c r="L3" s="806"/>
    </row>
    <row r="4" spans="1:12">
      <c r="A4" s="55"/>
      <c r="B4" s="4" t="s">
        <v>173</v>
      </c>
      <c r="C4" s="4" t="s">
        <v>174</v>
      </c>
      <c r="D4" s="5" t="s">
        <v>175</v>
      </c>
      <c r="E4"/>
      <c r="F4"/>
      <c r="G4" s="56">
        <v>128</v>
      </c>
      <c r="H4" t="s">
        <v>176</v>
      </c>
      <c r="I4"/>
      <c r="J4"/>
      <c r="K4"/>
      <c r="L4" s="7"/>
    </row>
    <row r="5" spans="1:12">
      <c r="A5" s="55"/>
      <c r="B5" s="361">
        <v>20</v>
      </c>
      <c r="C5" s="361">
        <v>100</v>
      </c>
      <c r="D5" s="70">
        <f>C5/B5</f>
        <v>5</v>
      </c>
      <c r="E5"/>
      <c r="F5"/>
      <c r="G5" s="56">
        <v>4</v>
      </c>
      <c r="H5" t="s">
        <v>31</v>
      </c>
      <c r="I5"/>
      <c r="J5"/>
      <c r="K5"/>
      <c r="L5" s="7"/>
    </row>
    <row r="6" spans="1:12">
      <c r="A6" s="55"/>
      <c r="B6" s="4"/>
      <c r="C6" s="4"/>
      <c r="D6" s="4"/>
      <c r="E6"/>
      <c r="F6"/>
      <c r="G6" s="56">
        <v>8</v>
      </c>
      <c r="H6" t="s">
        <v>177</v>
      </c>
      <c r="I6"/>
      <c r="J6"/>
      <c r="K6"/>
      <c r="L6" s="7"/>
    </row>
    <row r="7" spans="1:12">
      <c r="A7" s="55"/>
      <c r="B7" s="4" t="s">
        <v>178</v>
      </c>
      <c r="C7" s="4" t="s">
        <v>179</v>
      </c>
      <c r="D7" s="69" t="s">
        <v>180</v>
      </c>
      <c r="E7"/>
      <c r="F7"/>
      <c r="G7" s="56"/>
      <c r="H7"/>
      <c r="I7"/>
      <c r="J7"/>
      <c r="K7"/>
      <c r="L7" s="7"/>
    </row>
    <row r="8" spans="1:12">
      <c r="A8" s="55"/>
      <c r="B8" s="361">
        <v>8.5</v>
      </c>
      <c r="C8" s="70">
        <f>D5</f>
        <v>5</v>
      </c>
      <c r="D8" s="71">
        <f>B8/C8</f>
        <v>1.7</v>
      </c>
      <c r="E8"/>
      <c r="F8"/>
      <c r="G8" s="807" t="s">
        <v>181</v>
      </c>
      <c r="H8"/>
      <c r="I8"/>
      <c r="J8"/>
      <c r="K8"/>
      <c r="L8" s="7"/>
    </row>
    <row r="9" spans="1:12">
      <c r="A9" s="55"/>
      <c r="B9"/>
      <c r="C9" s="3"/>
      <c r="D9" s="72"/>
      <c r="E9"/>
      <c r="F9"/>
      <c r="G9" s="56">
        <v>16</v>
      </c>
      <c r="H9" t="s">
        <v>176</v>
      </c>
      <c r="I9"/>
      <c r="J9"/>
      <c r="K9"/>
      <c r="L9" s="7"/>
    </row>
    <row r="10" spans="1:12">
      <c r="A10" s="55" t="s">
        <v>193</v>
      </c>
      <c r="B10" s="68" t="s">
        <v>128</v>
      </c>
      <c r="C10" s="68" t="s">
        <v>128</v>
      </c>
      <c r="D10"/>
      <c r="E10"/>
      <c r="F10"/>
      <c r="G10" s="56"/>
      <c r="H10"/>
      <c r="I10"/>
      <c r="J10"/>
      <c r="K10"/>
      <c r="L10" s="7"/>
    </row>
    <row r="11" spans="1:12">
      <c r="A11" s="55"/>
      <c r="B11" s="4" t="s">
        <v>173</v>
      </c>
      <c r="C11" s="4" t="s">
        <v>174</v>
      </c>
      <c r="D11" s="5" t="s">
        <v>175</v>
      </c>
      <c r="E11"/>
      <c r="F11"/>
      <c r="G11" s="56"/>
      <c r="H11"/>
      <c r="I11"/>
      <c r="J11"/>
      <c r="K11"/>
      <c r="L11" s="7"/>
    </row>
    <row r="12" spans="1:12" ht="16.5">
      <c r="A12" s="55"/>
      <c r="B12" s="361">
        <v>15</v>
      </c>
      <c r="C12" s="361">
        <v>100</v>
      </c>
      <c r="D12" s="70">
        <f>C12/B12</f>
        <v>6.666666666666667</v>
      </c>
      <c r="E12"/>
      <c r="F12"/>
      <c r="G12" s="808" t="s">
        <v>182</v>
      </c>
      <c r="H12" t="s">
        <v>183</v>
      </c>
      <c r="I12" t="s">
        <v>184</v>
      </c>
      <c r="J12" t="s">
        <v>185</v>
      </c>
      <c r="K12"/>
      <c r="L12" s="7"/>
    </row>
    <row r="13" spans="1:12">
      <c r="A13" s="55"/>
      <c r="B13" s="4"/>
      <c r="C13" s="4"/>
      <c r="D13" s="4"/>
      <c r="E13"/>
      <c r="F13"/>
      <c r="G13" s="56">
        <v>0.125</v>
      </c>
      <c r="H13" s="4">
        <v>100</v>
      </c>
      <c r="I13" s="4">
        <v>1.25E-3</v>
      </c>
      <c r="J13">
        <v>0.125</v>
      </c>
      <c r="K13" s="4" t="s">
        <v>186</v>
      </c>
      <c r="L13" s="7" t="s">
        <v>187</v>
      </c>
    </row>
    <row r="14" spans="1:12">
      <c r="A14" s="55"/>
      <c r="B14" s="4" t="s">
        <v>188</v>
      </c>
      <c r="C14" s="4" t="s">
        <v>179</v>
      </c>
      <c r="D14" s="69" t="s">
        <v>180</v>
      </c>
      <c r="E14"/>
      <c r="F14"/>
      <c r="G14" s="56">
        <v>0.25</v>
      </c>
      <c r="H14" s="4">
        <v>100</v>
      </c>
      <c r="I14" s="4">
        <v>2.5000000000000001E-3</v>
      </c>
      <c r="J14">
        <v>0.25</v>
      </c>
      <c r="K14" s="4" t="s">
        <v>186</v>
      </c>
      <c r="L14" s="7" t="s">
        <v>189</v>
      </c>
    </row>
    <row r="15" spans="1:12">
      <c r="A15" s="55"/>
      <c r="B15" s="362">
        <v>16</v>
      </c>
      <c r="C15" s="70">
        <f>D12</f>
        <v>6.666666666666667</v>
      </c>
      <c r="D15" s="71">
        <f>B15/C15</f>
        <v>2.4</v>
      </c>
      <c r="E15"/>
      <c r="F15"/>
      <c r="G15" s="56">
        <v>0.5</v>
      </c>
      <c r="H15" s="4">
        <v>100</v>
      </c>
      <c r="I15" s="4">
        <v>5.0000000000000001E-3</v>
      </c>
      <c r="J15">
        <v>0.5</v>
      </c>
      <c r="K15" s="4" t="s">
        <v>186</v>
      </c>
      <c r="L15" s="7" t="s">
        <v>190</v>
      </c>
    </row>
    <row r="16" spans="1:12" ht="15.75" thickBot="1">
      <c r="A16"/>
      <c r="B16"/>
      <c r="C16"/>
      <c r="D16"/>
      <c r="E16"/>
      <c r="F16"/>
      <c r="G16" s="59">
        <v>1</v>
      </c>
      <c r="H16" s="809">
        <v>100</v>
      </c>
      <c r="I16" s="809">
        <v>0.01</v>
      </c>
      <c r="J16" s="58">
        <v>1</v>
      </c>
      <c r="K16" s="809" t="s">
        <v>186</v>
      </c>
      <c r="L16" s="26" t="s">
        <v>191</v>
      </c>
    </row>
    <row r="17" spans="1:12">
      <c r="A17" s="55" t="s">
        <v>195</v>
      </c>
      <c r="B17" s="68" t="s">
        <v>128</v>
      </c>
      <c r="C17" s="68" t="s">
        <v>128</v>
      </c>
      <c r="D17"/>
      <c r="E17"/>
      <c r="F17"/>
      <c r="G17"/>
      <c r="H17"/>
      <c r="I17"/>
      <c r="J17"/>
      <c r="K17"/>
      <c r="L17"/>
    </row>
    <row r="18" spans="1:12">
      <c r="A18" t="s">
        <v>196</v>
      </c>
      <c r="B18" t="s">
        <v>173</v>
      </c>
      <c r="C18" t="s">
        <v>174</v>
      </c>
      <c r="D18" s="5" t="s">
        <v>175</v>
      </c>
      <c r="E18"/>
      <c r="F18"/>
      <c r="G18"/>
      <c r="H18"/>
      <c r="I18"/>
      <c r="J18"/>
      <c r="K18"/>
      <c r="L18"/>
    </row>
    <row r="19" spans="1:12">
      <c r="A19"/>
      <c r="B19" s="361">
        <v>20</v>
      </c>
      <c r="C19" s="361">
        <v>100</v>
      </c>
      <c r="D19" s="70">
        <f>C19/B19</f>
        <v>5</v>
      </c>
      <c r="E19"/>
      <c r="F19"/>
      <c r="G19"/>
      <c r="H19"/>
      <c r="I19"/>
      <c r="J19"/>
      <c r="K19"/>
      <c r="L19"/>
    </row>
    <row r="20" spans="1:12">
      <c r="A20"/>
      <c r="B20" s="4"/>
      <c r="C20" s="4"/>
      <c r="D20" s="4"/>
      <c r="E20"/>
      <c r="F20"/>
      <c r="G20"/>
      <c r="H20"/>
      <c r="I20"/>
      <c r="J20"/>
      <c r="K20"/>
      <c r="L20"/>
    </row>
    <row r="21" spans="1:12">
      <c r="A21"/>
      <c r="B21" s="4" t="s">
        <v>192</v>
      </c>
      <c r="C21" s="4" t="s">
        <v>179</v>
      </c>
      <c r="D21" s="69" t="s">
        <v>180</v>
      </c>
      <c r="E21"/>
      <c r="F21"/>
      <c r="G21"/>
      <c r="H21"/>
      <c r="I21"/>
      <c r="J21"/>
      <c r="K21"/>
      <c r="L21"/>
    </row>
    <row r="22" spans="1:12">
      <c r="A22"/>
      <c r="B22" s="361">
        <v>2</v>
      </c>
      <c r="C22" s="70">
        <f>D19</f>
        <v>5</v>
      </c>
      <c r="D22" s="71">
        <f>B22/C22</f>
        <v>0.4</v>
      </c>
      <c r="E22"/>
      <c r="F22"/>
      <c r="G22"/>
      <c r="H22"/>
      <c r="I22"/>
      <c r="J22"/>
      <c r="K22"/>
      <c r="L22"/>
    </row>
    <row r="23" spans="1:12">
      <c r="A23"/>
      <c r="B23"/>
      <c r="C23"/>
      <c r="D23"/>
      <c r="E23"/>
      <c r="F23"/>
      <c r="G23"/>
      <c r="H23"/>
      <c r="I23"/>
      <c r="J23"/>
      <c r="K23"/>
      <c r="L23"/>
    </row>
    <row r="24" spans="1:12">
      <c r="A24"/>
      <c r="B24"/>
      <c r="C24"/>
      <c r="D24"/>
      <c r="E24"/>
      <c r="F24"/>
      <c r="G24"/>
      <c r="H24"/>
      <c r="I24"/>
      <c r="J24"/>
      <c r="K24"/>
      <c r="L24"/>
    </row>
    <row r="25" spans="1:12">
      <c r="A25"/>
      <c r="B25"/>
      <c r="C25"/>
      <c r="D25"/>
      <c r="E25"/>
      <c r="F25"/>
      <c r="G25"/>
      <c r="H25"/>
      <c r="I25"/>
      <c r="J25"/>
      <c r="K25"/>
      <c r="L25"/>
    </row>
    <row r="26" spans="1:12" ht="21">
      <c r="A26" s="956" t="s">
        <v>937</v>
      </c>
      <c r="B26" s="956"/>
      <c r="C26" s="956"/>
      <c r="D26" s="956"/>
      <c r="E26" s="956"/>
      <c r="F26" s="956"/>
      <c r="G26" s="956"/>
      <c r="H26" s="956"/>
      <c r="I26" s="956"/>
      <c r="J26" s="956"/>
      <c r="K26" s="956"/>
      <c r="L26" s="956"/>
    </row>
    <row r="27" spans="1:12">
      <c r="A27"/>
      <c r="B27"/>
      <c r="C27"/>
      <c r="D27"/>
      <c r="E27"/>
      <c r="F27"/>
      <c r="G27"/>
      <c r="H27"/>
      <c r="I27"/>
      <c r="J27"/>
      <c r="K27"/>
      <c r="L27"/>
    </row>
    <row r="28" spans="1:12">
      <c r="A28"/>
      <c r="B28"/>
      <c r="C28"/>
      <c r="D28"/>
      <c r="E28"/>
      <c r="F28"/>
      <c r="G28"/>
      <c r="H28"/>
      <c r="I28"/>
      <c r="J28"/>
      <c r="K28"/>
      <c r="L28"/>
    </row>
    <row r="29" spans="1:12">
      <c r="A29"/>
      <c r="B29"/>
      <c r="C29"/>
      <c r="D29"/>
      <c r="E29"/>
      <c r="F29"/>
      <c r="G29"/>
      <c r="H29"/>
      <c r="I29"/>
      <c r="J29"/>
      <c r="K29"/>
      <c r="L29"/>
    </row>
    <row r="30" spans="1:12" ht="15.75">
      <c r="A30" s="118" t="s">
        <v>283</v>
      </c>
      <c r="B30"/>
      <c r="C30"/>
      <c r="E30"/>
      <c r="F30"/>
      <c r="G30"/>
      <c r="H30"/>
      <c r="I30"/>
      <c r="J30"/>
      <c r="K30"/>
      <c r="L30"/>
    </row>
    <row r="31" spans="1:12">
      <c r="A31" t="s">
        <v>749</v>
      </c>
      <c r="B31"/>
      <c r="C31"/>
      <c r="J31" s="721"/>
      <c r="K31" s="721"/>
      <c r="L31" s="721"/>
    </row>
    <row r="32" spans="1:12">
      <c r="A32" s="955" t="s">
        <v>750</v>
      </c>
      <c r="B32" s="955"/>
    </row>
  </sheetData>
  <sheetProtection algorithmName="SHA-512" hashValue="9OdDbsOS5CzEWnSyC4xQvDgBVlEGK+Orb7kSm5FqyGODBHQ0+zUDroEQ3Nu5C2QDc8jnwA9zy03te54W3YR6kg==" saltValue="m+cOjYSOUW8vFgQTPwOU1A==" spinCount="100000" sheet="1" objects="1" scenarios="1"/>
  <mergeCells count="3">
    <mergeCell ref="A32:B32"/>
    <mergeCell ref="A26:L26"/>
    <mergeCell ref="A1:L1"/>
  </mergeCells>
  <hyperlinks>
    <hyperlink ref="I31:L31" r:id="rId1" display="Link to the Midwest Vegetable Production Guide" xr:uid="{94247321-840E-4FA0-A381-0612DADC452D}"/>
  </hyperlinks>
  <printOptions horizontalCentered="1"/>
  <pageMargins left="0.7" right="0.7" top="0.75" bottom="0.75" header="0.3" footer="0.3"/>
  <pageSetup scale="62" orientation="landscape"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EDD6D-456A-4BFD-9C1C-10D27B34E02D}">
  <sheetPr codeName="Sheet5"/>
  <dimension ref="A1:D24"/>
  <sheetViews>
    <sheetView zoomScale="80" zoomScaleNormal="80" workbookViewId="0">
      <selection sqref="A1:XFD1048576"/>
    </sheetView>
  </sheetViews>
  <sheetFormatPr defaultColWidth="8.85546875" defaultRowHeight="18.75"/>
  <cols>
    <col min="1" max="16384" width="8.85546875" style="154"/>
  </cols>
  <sheetData>
    <row r="1" spans="1:3">
      <c r="A1" s="154">
        <v>9</v>
      </c>
      <c r="B1" s="154">
        <v>50</v>
      </c>
      <c r="C1" s="154" t="s">
        <v>431</v>
      </c>
    </row>
    <row r="2" spans="1:3">
      <c r="A2" s="154">
        <v>9</v>
      </c>
      <c r="B2" s="154">
        <v>100</v>
      </c>
      <c r="C2" s="154" t="s">
        <v>432</v>
      </c>
    </row>
    <row r="3" spans="1:3">
      <c r="A3" s="154">
        <v>9</v>
      </c>
      <c r="B3" s="154">
        <v>150</v>
      </c>
      <c r="C3" s="154" t="s">
        <v>433</v>
      </c>
    </row>
    <row r="4" spans="1:3">
      <c r="A4" s="154">
        <v>9</v>
      </c>
      <c r="B4" s="154">
        <v>235</v>
      </c>
    </row>
    <row r="5" spans="1:3">
      <c r="A5" s="154">
        <v>9</v>
      </c>
      <c r="B5" s="154">
        <v>260</v>
      </c>
    </row>
    <row r="6" spans="1:3">
      <c r="A6" s="154">
        <v>9</v>
      </c>
      <c r="B6" s="154">
        <v>280</v>
      </c>
    </row>
    <row r="7" spans="1:3">
      <c r="A7" s="154">
        <v>19</v>
      </c>
      <c r="B7" s="154">
        <v>50</v>
      </c>
      <c r="C7" s="154" t="s">
        <v>434</v>
      </c>
    </row>
    <row r="8" spans="1:3">
      <c r="A8" s="154">
        <v>19</v>
      </c>
      <c r="B8" s="154">
        <v>100</v>
      </c>
      <c r="C8" s="154" t="s">
        <v>435</v>
      </c>
    </row>
    <row r="9" spans="1:3">
      <c r="A9" s="154">
        <v>19</v>
      </c>
      <c r="B9" s="154">
        <v>150</v>
      </c>
      <c r="C9" s="154" t="s">
        <v>436</v>
      </c>
    </row>
    <row r="10" spans="1:3">
      <c r="A10" s="154">
        <v>19</v>
      </c>
      <c r="B10" s="154">
        <v>250</v>
      </c>
      <c r="C10" s="154" t="s">
        <v>440</v>
      </c>
    </row>
    <row r="11" spans="1:3">
      <c r="A11" s="154">
        <v>19</v>
      </c>
      <c r="B11" s="154">
        <v>280</v>
      </c>
    </row>
    <row r="12" spans="1:3">
      <c r="A12" s="154">
        <v>19</v>
      </c>
      <c r="B12" s="154">
        <v>300</v>
      </c>
    </row>
    <row r="13" spans="1:3">
      <c r="A13" s="154">
        <v>29</v>
      </c>
      <c r="B13" s="154">
        <v>100</v>
      </c>
      <c r="C13" s="154" t="s">
        <v>437</v>
      </c>
    </row>
    <row r="14" spans="1:3">
      <c r="A14" s="154">
        <v>29</v>
      </c>
      <c r="B14" s="154">
        <v>150</v>
      </c>
      <c r="C14" s="154" t="s">
        <v>438</v>
      </c>
    </row>
    <row r="15" spans="1:3">
      <c r="A15" s="154">
        <v>29</v>
      </c>
      <c r="B15" s="154">
        <v>250</v>
      </c>
      <c r="C15" s="154" t="s">
        <v>441</v>
      </c>
    </row>
    <row r="16" spans="1:3">
      <c r="A16" s="154">
        <v>29</v>
      </c>
      <c r="B16" s="154">
        <v>310</v>
      </c>
    </row>
    <row r="17" spans="1:4">
      <c r="A17" s="154">
        <v>29</v>
      </c>
      <c r="B17" s="154">
        <v>330</v>
      </c>
    </row>
    <row r="18" spans="1:4">
      <c r="A18" s="154">
        <v>29</v>
      </c>
      <c r="B18" s="154">
        <v>350</v>
      </c>
      <c r="D18" s="154" t="s">
        <v>439</v>
      </c>
    </row>
    <row r="19" spans="1:4">
      <c r="A19" s="154">
        <v>30</v>
      </c>
      <c r="B19" s="154">
        <v>150</v>
      </c>
    </row>
    <row r="20" spans="1:4">
      <c r="A20" s="154">
        <v>30</v>
      </c>
      <c r="B20" s="154">
        <v>200</v>
      </c>
    </row>
    <row r="21" spans="1:4">
      <c r="A21" s="154">
        <v>30</v>
      </c>
      <c r="B21" s="154">
        <v>250</v>
      </c>
    </row>
    <row r="22" spans="1:4">
      <c r="A22" s="154">
        <v>30</v>
      </c>
      <c r="B22" s="154">
        <v>360</v>
      </c>
    </row>
    <row r="23" spans="1:4">
      <c r="A23" s="154">
        <v>30</v>
      </c>
      <c r="B23" s="154">
        <v>380</v>
      </c>
    </row>
    <row r="24" spans="1:4">
      <c r="A24" s="154">
        <v>30</v>
      </c>
      <c r="B24" s="154">
        <v>400</v>
      </c>
    </row>
  </sheetData>
  <phoneticPr fontId="6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6306B-D49A-4320-BFBC-7268225E31D0}">
  <sheetPr codeName="Sheet7"/>
  <dimension ref="A1:D24"/>
  <sheetViews>
    <sheetView zoomScale="80" zoomScaleNormal="80" workbookViewId="0">
      <selection activeCell="D18" sqref="D18"/>
    </sheetView>
  </sheetViews>
  <sheetFormatPr defaultColWidth="8.85546875" defaultRowHeight="18.75"/>
  <cols>
    <col min="1" max="16384" width="8.85546875" style="154"/>
  </cols>
  <sheetData>
    <row r="1" spans="1:3">
      <c r="A1" s="154">
        <v>9</v>
      </c>
      <c r="B1" s="154">
        <v>50</v>
      </c>
      <c r="C1" s="154" t="s">
        <v>442</v>
      </c>
    </row>
    <row r="2" spans="1:3">
      <c r="A2" s="154">
        <v>9</v>
      </c>
      <c r="B2" s="154">
        <v>100</v>
      </c>
      <c r="C2" s="154" t="s">
        <v>443</v>
      </c>
    </row>
    <row r="3" spans="1:3">
      <c r="A3" s="154">
        <v>9</v>
      </c>
      <c r="B3" s="154">
        <v>150</v>
      </c>
      <c r="C3" s="154" t="s">
        <v>444</v>
      </c>
    </row>
    <row r="4" spans="1:3">
      <c r="A4" s="154">
        <v>9</v>
      </c>
      <c r="B4" s="154">
        <v>235</v>
      </c>
    </row>
    <row r="5" spans="1:3">
      <c r="A5" s="154">
        <v>9</v>
      </c>
      <c r="B5" s="154">
        <v>260</v>
      </c>
    </row>
    <row r="6" spans="1:3">
      <c r="A6" s="154">
        <v>9</v>
      </c>
      <c r="B6" s="154">
        <v>280</v>
      </c>
    </row>
    <row r="7" spans="1:3">
      <c r="A7" s="154">
        <v>19</v>
      </c>
      <c r="B7" s="154">
        <v>50</v>
      </c>
      <c r="C7" s="154" t="s">
        <v>445</v>
      </c>
    </row>
    <row r="8" spans="1:3">
      <c r="A8" s="154">
        <v>19</v>
      </c>
      <c r="B8" s="154">
        <v>100</v>
      </c>
      <c r="C8" s="154" t="s">
        <v>446</v>
      </c>
    </row>
    <row r="9" spans="1:3">
      <c r="A9" s="154">
        <v>19</v>
      </c>
      <c r="B9" s="154">
        <v>150</v>
      </c>
      <c r="C9" s="154" t="s">
        <v>447</v>
      </c>
    </row>
    <row r="10" spans="1:3">
      <c r="A10" s="154">
        <v>19</v>
      </c>
      <c r="B10" s="154">
        <v>250</v>
      </c>
      <c r="C10" s="154" t="s">
        <v>448</v>
      </c>
    </row>
    <row r="11" spans="1:3">
      <c r="A11" s="154">
        <v>19</v>
      </c>
      <c r="B11" s="154">
        <v>280</v>
      </c>
    </row>
    <row r="12" spans="1:3">
      <c r="A12" s="154">
        <v>19</v>
      </c>
      <c r="B12" s="154">
        <v>300</v>
      </c>
    </row>
    <row r="13" spans="1:3">
      <c r="A13" s="154">
        <v>29</v>
      </c>
      <c r="B13" s="154">
        <v>100</v>
      </c>
      <c r="C13" s="154" t="s">
        <v>449</v>
      </c>
    </row>
    <row r="14" spans="1:3">
      <c r="A14" s="154">
        <v>29</v>
      </c>
      <c r="B14" s="154">
        <v>150</v>
      </c>
      <c r="C14" s="154" t="s">
        <v>450</v>
      </c>
    </row>
    <row r="15" spans="1:3">
      <c r="A15" s="154">
        <v>29</v>
      </c>
      <c r="B15" s="154">
        <v>250</v>
      </c>
      <c r="C15" s="154" t="s">
        <v>451</v>
      </c>
    </row>
    <row r="16" spans="1:3">
      <c r="A16" s="154">
        <v>29</v>
      </c>
      <c r="B16" s="154">
        <v>310</v>
      </c>
    </row>
    <row r="17" spans="1:4">
      <c r="A17" s="154">
        <v>29</v>
      </c>
      <c r="B17" s="154">
        <v>330</v>
      </c>
    </row>
    <row r="18" spans="1:4">
      <c r="A18" s="154">
        <v>29</v>
      </c>
      <c r="B18" s="154">
        <v>350</v>
      </c>
      <c r="D18" s="154" t="s">
        <v>452</v>
      </c>
    </row>
    <row r="19" spans="1:4">
      <c r="A19" s="154">
        <v>30</v>
      </c>
      <c r="B19" s="154">
        <v>150</v>
      </c>
    </row>
    <row r="20" spans="1:4">
      <c r="A20" s="154">
        <v>30</v>
      </c>
      <c r="B20" s="154">
        <v>200</v>
      </c>
    </row>
    <row r="21" spans="1:4">
      <c r="A21" s="154">
        <v>30</v>
      </c>
      <c r="B21" s="154">
        <v>250</v>
      </c>
    </row>
    <row r="22" spans="1:4">
      <c r="A22" s="154">
        <v>30</v>
      </c>
      <c r="B22" s="154">
        <v>360</v>
      </c>
    </row>
    <row r="23" spans="1:4">
      <c r="A23" s="154">
        <v>30</v>
      </c>
      <c r="B23" s="154">
        <v>380</v>
      </c>
    </row>
    <row r="24" spans="1:4">
      <c r="A24" s="154">
        <v>30</v>
      </c>
      <c r="B24" s="154">
        <v>400</v>
      </c>
    </row>
  </sheetData>
  <phoneticPr fontId="6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B58FE-D99B-4669-9817-517CE45B56CA}">
  <sheetPr codeName="Sheet8"/>
  <dimension ref="A1:D24"/>
  <sheetViews>
    <sheetView topLeftCell="A16" zoomScale="80" zoomScaleNormal="80" workbookViewId="0">
      <selection activeCell="D18" sqref="D18"/>
    </sheetView>
  </sheetViews>
  <sheetFormatPr defaultColWidth="8.85546875" defaultRowHeight="18.75"/>
  <cols>
    <col min="1" max="16384" width="8.85546875" style="154"/>
  </cols>
  <sheetData>
    <row r="1" spans="1:3">
      <c r="A1" s="154">
        <v>9</v>
      </c>
      <c r="B1" s="154">
        <v>50</v>
      </c>
      <c r="C1" s="154" t="s">
        <v>454</v>
      </c>
    </row>
    <row r="2" spans="1:3">
      <c r="A2" s="154">
        <v>9</v>
      </c>
      <c r="B2" s="154">
        <v>100</v>
      </c>
      <c r="C2" s="154" t="s">
        <v>455</v>
      </c>
    </row>
    <row r="3" spans="1:3">
      <c r="A3" s="154">
        <v>9</v>
      </c>
      <c r="B3" s="154">
        <v>150</v>
      </c>
      <c r="C3" s="154" t="s">
        <v>456</v>
      </c>
    </row>
    <row r="4" spans="1:3">
      <c r="A4" s="154">
        <v>9</v>
      </c>
      <c r="B4" s="154">
        <v>235</v>
      </c>
    </row>
    <row r="5" spans="1:3">
      <c r="A5" s="154">
        <v>9</v>
      </c>
      <c r="B5" s="154">
        <v>260</v>
      </c>
    </row>
    <row r="6" spans="1:3">
      <c r="A6" s="154">
        <v>9</v>
      </c>
      <c r="B6" s="154">
        <v>280</v>
      </c>
    </row>
    <row r="7" spans="1:3">
      <c r="A7" s="154">
        <v>19</v>
      </c>
      <c r="B7" s="154">
        <v>50</v>
      </c>
      <c r="C7" s="154" t="s">
        <v>457</v>
      </c>
    </row>
    <row r="8" spans="1:3">
      <c r="A8" s="154">
        <v>19</v>
      </c>
      <c r="B8" s="154">
        <v>100</v>
      </c>
      <c r="C8" s="154" t="s">
        <v>458</v>
      </c>
    </row>
    <row r="9" spans="1:3">
      <c r="A9" s="154">
        <v>19</v>
      </c>
      <c r="B9" s="154">
        <v>150</v>
      </c>
      <c r="C9" s="154" t="s">
        <v>463</v>
      </c>
    </row>
    <row r="10" spans="1:3">
      <c r="A10" s="154">
        <v>19</v>
      </c>
      <c r="B10" s="154">
        <v>200</v>
      </c>
      <c r="C10" s="154" t="s">
        <v>459</v>
      </c>
    </row>
    <row r="11" spans="1:3">
      <c r="A11" s="154">
        <v>19</v>
      </c>
      <c r="B11" s="154">
        <v>280</v>
      </c>
    </row>
    <row r="12" spans="1:3">
      <c r="A12" s="154">
        <v>19</v>
      </c>
      <c r="B12" s="154">
        <v>300</v>
      </c>
    </row>
    <row r="13" spans="1:3">
      <c r="A13" s="154">
        <v>29</v>
      </c>
      <c r="B13" s="154">
        <v>100</v>
      </c>
      <c r="C13" s="154" t="s">
        <v>460</v>
      </c>
    </row>
    <row r="14" spans="1:3">
      <c r="A14" s="154">
        <v>29</v>
      </c>
      <c r="B14" s="154">
        <v>150</v>
      </c>
      <c r="C14" s="154" t="s">
        <v>461</v>
      </c>
    </row>
    <row r="15" spans="1:3">
      <c r="A15" s="154">
        <v>29</v>
      </c>
      <c r="B15" s="154">
        <v>200</v>
      </c>
      <c r="C15" s="154" t="s">
        <v>462</v>
      </c>
    </row>
    <row r="16" spans="1:3">
      <c r="A16" s="154">
        <v>29</v>
      </c>
      <c r="B16" s="154">
        <v>310</v>
      </c>
    </row>
    <row r="17" spans="1:4">
      <c r="A17" s="154">
        <v>29</v>
      </c>
      <c r="B17" s="154">
        <v>330</v>
      </c>
    </row>
    <row r="18" spans="1:4">
      <c r="A18" s="154">
        <v>29</v>
      </c>
      <c r="B18" s="154">
        <v>350</v>
      </c>
      <c r="D18" s="154" t="s">
        <v>464</v>
      </c>
    </row>
    <row r="19" spans="1:4">
      <c r="A19" s="154">
        <v>30</v>
      </c>
      <c r="B19" s="154">
        <v>150</v>
      </c>
    </row>
    <row r="20" spans="1:4">
      <c r="A20" s="154">
        <v>30</v>
      </c>
      <c r="B20" s="154">
        <v>200</v>
      </c>
    </row>
    <row r="21" spans="1:4">
      <c r="A21" s="154">
        <v>30</v>
      </c>
      <c r="B21" s="154">
        <v>250</v>
      </c>
    </row>
    <row r="22" spans="1:4">
      <c r="A22" s="154">
        <v>30</v>
      </c>
      <c r="B22" s="154">
        <v>360</v>
      </c>
    </row>
    <row r="23" spans="1:4">
      <c r="A23" s="154">
        <v>30</v>
      </c>
      <c r="B23" s="154">
        <v>380</v>
      </c>
    </row>
    <row r="24" spans="1:4">
      <c r="A24" s="154">
        <v>30</v>
      </c>
      <c r="B24" s="154">
        <v>400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8EFC1CEF359648BC0C8AD096DB2D41" ma:contentTypeVersion="12" ma:contentTypeDescription="Create a new document." ma:contentTypeScope="" ma:versionID="4fc0d4c6a28395942ee9929752abb974">
  <xsd:schema xmlns:xsd="http://www.w3.org/2001/XMLSchema" xmlns:xs="http://www.w3.org/2001/XMLSchema" xmlns:p="http://schemas.microsoft.com/office/2006/metadata/properties" xmlns:ns1="http://schemas.microsoft.com/sharepoint/v3" xmlns:ns3="c29a6e96-27cc-4888-9e32-aed5af49d252" targetNamespace="http://schemas.microsoft.com/office/2006/metadata/properties" ma:root="true" ma:fieldsID="f786f1ff3836f4364d3595335fa3a4e9" ns1:_="" ns3:_="">
    <xsd:import namespace="http://schemas.microsoft.com/sharepoint/v3"/>
    <xsd:import namespace="c29a6e96-27cc-4888-9e32-aed5af49d2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1:_ip_UnifiedCompliancePolicyProperties" minOccurs="0"/>
                <xsd:element ref="ns1:_ip_UnifiedCompliancePolicyUIActio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9a6e96-27cc-4888-9e32-aed5af49d2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522310-FB14-4E86-92B4-0E2BA8DC7145}">
  <ds:schemaRefs>
    <ds:schemaRef ds:uri="http://schemas.openxmlformats.org/package/2006/metadata/core-properties"/>
    <ds:schemaRef ds:uri="http://schemas.microsoft.com/sharepoint/v3"/>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c29a6e96-27cc-4888-9e32-aed5af49d252"/>
    <ds:schemaRef ds:uri="http://purl.org/dc/dcmitype/"/>
    <ds:schemaRef ds:uri="http://purl.org/dc/terms/"/>
  </ds:schemaRefs>
</ds:datastoreItem>
</file>

<file path=customXml/itemProps2.xml><?xml version="1.0" encoding="utf-8"?>
<ds:datastoreItem xmlns:ds="http://schemas.openxmlformats.org/officeDocument/2006/customXml" ds:itemID="{6383D39B-EAA6-4B10-B800-E5E8AD176C01}">
  <ds:schemaRefs>
    <ds:schemaRef ds:uri="http://schemas.microsoft.com/sharepoint/v3/contenttype/forms"/>
  </ds:schemaRefs>
</ds:datastoreItem>
</file>

<file path=customXml/itemProps3.xml><?xml version="1.0" encoding="utf-8"?>
<ds:datastoreItem xmlns:ds="http://schemas.openxmlformats.org/officeDocument/2006/customXml" ds:itemID="{7A3E8564-6BED-488E-A209-093F6F82C7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29a6e96-27cc-4888-9e32-aed5af49d2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Instructions</vt:lpstr>
      <vt:lpstr>Crop Budget (Main)</vt:lpstr>
      <vt:lpstr>Raised Bed Calculator</vt:lpstr>
      <vt:lpstr>Variable &amp; Fixed</vt:lpstr>
      <vt:lpstr>Chemical Plan</vt:lpstr>
      <vt:lpstr>Adjuvant Help Guide</vt:lpstr>
      <vt:lpstr>Corn K Calculations</vt:lpstr>
      <vt:lpstr>Soybean K Calculations</vt:lpstr>
      <vt:lpstr>Wheat K Calculations</vt:lpstr>
      <vt:lpstr>Nutrient Management</vt:lpstr>
      <vt:lpstr>Manure and Nutrient Credits</vt:lpstr>
      <vt:lpstr>Fertilizer Products &amp; Pricing</vt:lpstr>
      <vt:lpstr>Fertilizer Plan</vt:lpstr>
      <vt:lpstr>Loans &amp; Financing</vt:lpstr>
      <vt:lpstr>Capital &amp; Opportunity</vt:lpstr>
      <vt:lpstr>Gov't Payments</vt:lpstr>
      <vt:lpstr>Optimization</vt:lpstr>
      <vt:lpstr>Data and Lists</vt:lpstr>
      <vt:lpstr>Chemical List (Vegetables)</vt:lpstr>
      <vt:lpstr>Charts</vt:lpstr>
      <vt:lpstr>Adjuvants</vt:lpstr>
      <vt:lpstr>Foliars</vt:lpstr>
      <vt:lpstr>Fungicides</vt:lpstr>
      <vt:lpstr>Herbicides</vt:lpstr>
      <vt:lpstr>Insecticides</vt:lpstr>
      <vt:lpstr>Lime</vt:lpstr>
      <vt:lpstr>Macronutrients</vt:lpstr>
      <vt:lpstr>Micronutrients</vt:lpstr>
      <vt:lpstr>NitrogenStabilizers</vt:lpstr>
      <vt:lpstr>'Capital &amp; Opportunity'!Print_Area</vt:lpstr>
      <vt:lpstr>'Chemical Plan'!Print_Area</vt:lpstr>
      <vt:lpstr>'Crop Budget (Main)'!Print_Area</vt:lpstr>
      <vt:lpstr>'Fertilizer Plan'!Print_Area</vt:lpstr>
      <vt:lpstr>'Fertilizer Products &amp; Pricing'!Print_Area</vt:lpstr>
      <vt:lpstr>Instructions!Print_Area</vt:lpstr>
      <vt:lpstr>'Loans &amp; Financing'!Print_Area</vt:lpstr>
      <vt:lpstr>'Nutrient Management'!Print_Area</vt:lpstr>
      <vt:lpstr>Optimization!Print_Area</vt:lpstr>
      <vt:lpstr>VegetableChemicals</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LaPorte, Jonathan P.</dc:creator>
  <cp:lastModifiedBy>LaPorte, Jonathan</cp:lastModifiedBy>
  <cp:lastPrinted>2023-11-07T16:27:44Z</cp:lastPrinted>
  <dcterms:created xsi:type="dcterms:W3CDTF">2018-03-23T14:51:03Z</dcterms:created>
  <dcterms:modified xsi:type="dcterms:W3CDTF">2023-11-27T14:28:14Z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0x010100068EFC1CEF359648BC0C8AD096DB2D41</vt:lpwstr>
  </property>
</Properties>
</file>